
<file path=[Content_Types].xml><?xml version="1.0" encoding="utf-8"?>
<Types xmlns="http://schemas.openxmlformats.org/package/2006/content-types">
  <Override PartName="/xl/worksheets/sheet7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9.xml" ContentType="application/vnd.openxmlformats-officedocument.spreadsheetml.worksheet+xml"/>
  <Override PartName="/xl/worksheets/sheet17.xml" ContentType="application/vnd.openxmlformats-officedocument.spreadsheetml.worksheet+xml"/>
  <Override PartName="/xl/worksheets/sheet20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2.xml" ContentType="application/vnd.openxmlformats-officedocument.spreadsheetml.worksheet+xml"/>
  <Override PartName="/xl/worksheets/sheet4.xml" ContentType="application/vnd.openxmlformats-officedocument.spreadsheetml.worksheet+xml"/>
  <Default Extension="xml" ContentType="application/xml"/>
  <Override PartName="/xl/worksheets/sheet6.xml" ContentType="application/vnd.openxmlformats-officedocument.spreadsheetml.worksheet+xml"/>
  <Override PartName="/xl/worksheets/sheet14.xml" ContentType="application/vnd.openxmlformats-officedocument.spreadsheetml.worksheet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16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worksheets/sheet18.xml" ContentType="application/vnd.openxmlformats-officedocument.spreadsheetml.worksheet+xml"/>
  <Override PartName="/xl/worksheets/sheet3.xml" ContentType="application/vnd.openxmlformats-officedocument.spreadsheetml.worksheet+xml"/>
  <Override PartName="/xl/worksheets/sheet11.xml" ContentType="application/vnd.openxmlformats-officedocument.spreadsheetml.worksheet+xml"/>
  <Default Extension="vml" ContentType="application/vnd.openxmlformats-officedocument.vmlDrawing"/>
  <Default Extension="rels" ContentType="application/vnd.openxmlformats-package.relationships+xml"/>
  <Override PartName="/xl/worksheets/sheet13.xml" ContentType="application/vnd.openxmlformats-officedocument.spreadsheetml.worksheet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autoCompressPictures="0"/>
  <bookViews>
    <workbookView xWindow="0" yWindow="0" windowWidth="24000" windowHeight="9520" firstSheet="7" activeTab="17"/>
  </bookViews>
  <sheets>
    <sheet name="1996-1997" sheetId="20" r:id="rId1"/>
    <sheet name="1998-1999" sheetId="2" r:id="rId2"/>
    <sheet name="2000" sheetId="1" r:id="rId3"/>
    <sheet name="2001" sheetId="3" r:id="rId4"/>
    <sheet name="2002" sheetId="4" r:id="rId5"/>
    <sheet name="2003" sheetId="5" r:id="rId6"/>
    <sheet name="2004" sheetId="6" r:id="rId7"/>
    <sheet name="2005" sheetId="7" r:id="rId8"/>
    <sheet name="2006" sheetId="8" r:id="rId9"/>
    <sheet name="2007" sheetId="9" r:id="rId10"/>
    <sheet name="2008" sheetId="10" r:id="rId11"/>
    <sheet name="2009" sheetId="11" r:id="rId12"/>
    <sheet name="2010" sheetId="12" r:id="rId13"/>
    <sheet name="2011" sheetId="13" r:id="rId14"/>
    <sheet name="2012" sheetId="14" r:id="rId15"/>
    <sheet name="2013" sheetId="15" r:id="rId16"/>
    <sheet name="2014" sheetId="16" r:id="rId17"/>
    <sheet name="2015" sheetId="17" r:id="rId18"/>
    <sheet name="2016" sheetId="18" r:id="rId19"/>
    <sheet name="criteria" sheetId="19" r:id="rId20"/>
  </sheets>
  <definedNames>
    <definedName name="_xlnm._FilterDatabase" localSheetId="5" hidden="1">'2003'!$A$1:$S$141</definedName>
    <definedName name="_xlnm._FilterDatabase" localSheetId="10" hidden="1">'2008'!$A$1:$V$280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P106" i="1"/>
  <c r="P105"/>
  <c r="P104"/>
  <c r="P97"/>
  <c r="P103"/>
  <c r="P102"/>
  <c r="P95"/>
  <c r="P96"/>
  <c r="P93"/>
  <c r="P101"/>
  <c r="P99"/>
  <c r="P100"/>
  <c r="P92"/>
  <c r="P94"/>
  <c r="P91"/>
  <c r="P98"/>
  <c r="P83"/>
  <c r="P82"/>
  <c r="P73"/>
  <c r="P81"/>
  <c r="P90"/>
  <c r="P80"/>
  <c r="P79"/>
  <c r="P78"/>
  <c r="P88"/>
  <c r="P89"/>
  <c r="P86"/>
  <c r="P77"/>
  <c r="P75"/>
  <c r="P76"/>
  <c r="P85"/>
  <c r="P87"/>
  <c r="P84"/>
  <c r="P74"/>
  <c r="P65"/>
  <c r="P64"/>
  <c r="P56"/>
  <c r="P63"/>
  <c r="P72"/>
  <c r="P62"/>
  <c r="P61"/>
  <c r="P70"/>
  <c r="P71"/>
  <c r="P68"/>
  <c r="P60"/>
  <c r="P58"/>
  <c r="P59"/>
  <c r="P67"/>
  <c r="P69"/>
  <c r="P66"/>
  <c r="P57"/>
  <c r="P31" i="3"/>
  <c r="P6"/>
  <c r="P57"/>
  <c r="P59"/>
  <c r="P56"/>
  <c r="P55"/>
  <c r="P54"/>
  <c r="P109" i="5"/>
  <c r="P141"/>
  <c r="P140"/>
  <c r="P139"/>
  <c r="P137"/>
  <c r="K78"/>
  <c r="K79"/>
  <c r="K80"/>
  <c r="K81"/>
  <c r="K82"/>
  <c r="K83"/>
  <c r="K84"/>
  <c r="K85"/>
  <c r="K77"/>
  <c r="K52"/>
  <c r="O79" i="6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11"/>
  <c r="O43"/>
  <c r="O42"/>
  <c r="O41"/>
  <c r="O40"/>
  <c r="O39"/>
  <c r="O38"/>
  <c r="O37"/>
  <c r="O36"/>
  <c r="O34"/>
  <c r="O33"/>
  <c r="O32"/>
  <c r="O31"/>
  <c r="O30"/>
  <c r="O29"/>
  <c r="O53"/>
  <c r="O52"/>
  <c r="O51"/>
  <c r="O50"/>
  <c r="O49"/>
  <c r="O47"/>
  <c r="O46"/>
  <c r="O45"/>
  <c r="O44"/>
  <c r="O27"/>
  <c r="O26"/>
  <c r="O25"/>
  <c r="O24"/>
  <c r="O23"/>
  <c r="O22"/>
  <c r="O21"/>
  <c r="O20"/>
  <c r="O19"/>
  <c r="O18"/>
  <c r="O17"/>
  <c r="O16"/>
  <c r="O15"/>
  <c r="O14"/>
  <c r="O13"/>
  <c r="O12"/>
  <c r="O10"/>
  <c r="O9"/>
  <c r="O8"/>
  <c r="O7"/>
  <c r="O6"/>
  <c r="O5"/>
  <c r="O4"/>
  <c r="O3"/>
  <c r="K17"/>
  <c r="K16"/>
  <c r="K15"/>
  <c r="K14"/>
  <c r="K13"/>
  <c r="K12"/>
  <c r="K11"/>
  <c r="K10"/>
  <c r="K9"/>
  <c r="K8"/>
  <c r="K7"/>
  <c r="K6"/>
  <c r="K5"/>
  <c r="K4"/>
  <c r="K3"/>
  <c r="K79" i="7"/>
  <c r="K73"/>
  <c r="K74"/>
  <c r="K75"/>
  <c r="K76"/>
  <c r="K77"/>
  <c r="K78"/>
  <c r="K72"/>
  <c r="O52"/>
  <c r="O51"/>
  <c r="O50"/>
  <c r="O49"/>
  <c r="O48"/>
  <c r="O47"/>
  <c r="O46"/>
  <c r="O45"/>
  <c r="O44"/>
  <c r="O43"/>
  <c r="O42"/>
  <c r="O41"/>
  <c r="O40"/>
  <c r="O39"/>
  <c r="O38"/>
  <c r="O37"/>
  <c r="O18"/>
  <c r="O17"/>
  <c r="O16"/>
  <c r="O15"/>
  <c r="O14"/>
  <c r="O13"/>
  <c r="O12"/>
  <c r="O11"/>
  <c r="O10"/>
  <c r="O9"/>
  <c r="O8"/>
  <c r="O7"/>
  <c r="O6"/>
  <c r="O5"/>
  <c r="O4"/>
  <c r="O3"/>
  <c r="O76" i="9"/>
  <c r="O75"/>
  <c r="O74"/>
  <c r="O73"/>
  <c r="O72"/>
  <c r="O71"/>
  <c r="O70"/>
  <c r="O69"/>
  <c r="O68"/>
  <c r="O67"/>
  <c r="O66"/>
  <c r="O65"/>
  <c r="O64"/>
  <c r="O63"/>
  <c r="O61"/>
  <c r="O60"/>
  <c r="O59"/>
  <c r="O58"/>
  <c r="O57"/>
  <c r="O56"/>
  <c r="O55"/>
  <c r="O54"/>
  <c r="O53"/>
  <c r="O52"/>
  <c r="O51"/>
  <c r="O50"/>
  <c r="O49"/>
  <c r="O48"/>
  <c r="O46"/>
  <c r="O45"/>
  <c r="O44"/>
  <c r="O43"/>
  <c r="O42"/>
  <c r="O41"/>
  <c r="O40"/>
  <c r="O39"/>
  <c r="O38"/>
  <c r="O37"/>
  <c r="O36"/>
  <c r="O35"/>
  <c r="O34"/>
  <c r="O33"/>
  <c r="O41" i="10"/>
  <c r="O21"/>
  <c r="O40"/>
  <c r="O20"/>
  <c r="O39"/>
  <c r="O19"/>
  <c r="O38"/>
  <c r="O18"/>
  <c r="O37"/>
  <c r="O17"/>
  <c r="O36"/>
  <c r="O16"/>
  <c r="O35"/>
  <c r="O15"/>
  <c r="O34"/>
  <c r="O14"/>
  <c r="O33"/>
  <c r="O13"/>
  <c r="O32"/>
  <c r="O12"/>
  <c r="O31"/>
  <c r="O11"/>
  <c r="O30"/>
  <c r="O10"/>
  <c r="O29"/>
  <c r="O9"/>
  <c r="O28"/>
  <c r="O8"/>
  <c r="O27"/>
  <c r="O7"/>
  <c r="O26"/>
  <c r="O6"/>
  <c r="O25"/>
  <c r="O5"/>
  <c r="O24"/>
  <c r="O4"/>
  <c r="O23"/>
  <c r="O3"/>
  <c r="O42" i="13"/>
  <c r="O41"/>
  <c r="O40"/>
  <c r="O39"/>
  <c r="O38"/>
  <c r="O37"/>
  <c r="O36"/>
  <c r="O35"/>
  <c r="O34"/>
  <c r="O33"/>
  <c r="O32"/>
  <c r="O31"/>
  <c r="O30"/>
  <c r="O28"/>
  <c r="O27"/>
  <c r="O26"/>
  <c r="O24"/>
  <c r="O23"/>
  <c r="O20" i="14"/>
  <c r="O19"/>
  <c r="O18"/>
  <c r="O17"/>
  <c r="O16"/>
  <c r="O15"/>
  <c r="O14"/>
  <c r="O13"/>
  <c r="O12"/>
  <c r="O11"/>
  <c r="O10"/>
  <c r="O9"/>
  <c r="O8"/>
  <c r="O7"/>
  <c r="O6"/>
  <c r="O5"/>
  <c r="O4"/>
  <c r="O3"/>
  <c r="K34" i="15"/>
  <c r="K35"/>
  <c r="K36"/>
  <c r="K37"/>
  <c r="K38"/>
  <c r="K39"/>
  <c r="K33"/>
  <c r="O32"/>
  <c r="O31"/>
  <c r="O16"/>
  <c r="O30"/>
  <c r="O13"/>
  <c r="O28"/>
  <c r="O12"/>
  <c r="O27"/>
  <c r="O11"/>
  <c r="O26"/>
  <c r="O10"/>
  <c r="O25"/>
  <c r="O9"/>
  <c r="O24"/>
  <c r="O8"/>
  <c r="O23"/>
  <c r="O7"/>
  <c r="O22"/>
  <c r="O6"/>
  <c r="O21"/>
  <c r="O20"/>
  <c r="O19"/>
  <c r="O3"/>
  <c r="K4" i="16"/>
  <c r="K11"/>
  <c r="K12"/>
  <c r="K13"/>
  <c r="K14"/>
  <c r="K15"/>
  <c r="K16"/>
  <c r="K17"/>
  <c r="K18"/>
  <c r="K19"/>
  <c r="K20"/>
  <c r="K21"/>
  <c r="K22"/>
  <c r="K23"/>
  <c r="K10"/>
  <c r="K8"/>
  <c r="K9"/>
  <c r="K7"/>
  <c r="K56"/>
  <c r="K57"/>
  <c r="K58"/>
  <c r="K59"/>
  <c r="K60"/>
  <c r="K61"/>
  <c r="K62"/>
  <c r="K63"/>
  <c r="K64"/>
  <c r="K65"/>
  <c r="K55"/>
  <c r="K54"/>
  <c r="K53"/>
  <c r="K40"/>
  <c r="K41"/>
  <c r="K42"/>
  <c r="K43"/>
  <c r="K44"/>
  <c r="K45"/>
  <c r="K46"/>
  <c r="K47"/>
  <c r="K48"/>
  <c r="K49"/>
  <c r="K50"/>
  <c r="K51"/>
  <c r="K39"/>
  <c r="K37"/>
  <c r="K36"/>
  <c r="K35"/>
  <c r="K34"/>
  <c r="K32"/>
  <c r="K33"/>
  <c r="K31"/>
  <c r="K30"/>
  <c r="K29"/>
  <c r="K26"/>
  <c r="K27"/>
  <c r="K28"/>
  <c r="K25"/>
  <c r="K14" i="19"/>
  <c r="K13"/>
  <c r="K12"/>
  <c r="K11"/>
  <c r="K9"/>
  <c r="K8"/>
</calcChain>
</file>

<file path=xl/sharedStrings.xml><?xml version="1.0" encoding="utf-8"?>
<sst xmlns="http://schemas.openxmlformats.org/spreadsheetml/2006/main" count="16738" uniqueCount="191">
  <si>
    <r>
      <t xml:space="preserve">MACORIS MLG, ANDRIGHETTI MTM, TAKAKU L, GLASSER CM, GARBELOTO VC, BRACCO JE. 2003. Resistance of </t>
    </r>
    <r>
      <rPr>
        <i/>
        <sz val="12"/>
        <color indexed="8"/>
        <rFont val="Arial"/>
        <family val="2"/>
      </rPr>
      <t>Aedes aegypti</t>
    </r>
    <r>
      <rPr>
        <sz val="12"/>
        <color indexed="8"/>
        <rFont val="Arial"/>
        <family val="2"/>
      </rPr>
      <t xml:space="preserve"> from the state of São Paulo, Brazil to organophosphates insecticides. </t>
    </r>
    <r>
      <rPr>
        <b/>
        <sz val="12"/>
        <color indexed="8"/>
        <rFont val="Arial"/>
        <family val="2"/>
      </rPr>
      <t>Mem Inst Osvaldo Cruz</t>
    </r>
    <r>
      <rPr>
        <sz val="12"/>
        <color indexed="8"/>
        <rFont val="Arial"/>
        <family val="2"/>
      </rPr>
      <t>,  98(05): 703-708.</t>
    </r>
  </si>
  <si>
    <t xml:space="preserve">MACORIS MLG, ANDRIGHETTI, MTM. 2006. Monitoramento da susceptibilidade de Aedes aegypti aos inseticidas utilizados para seu controle no Estado de São Paulo. BEPA. Boletim Epidemiológico Paulista, v. 3, p. 50-55. </t>
  </si>
  <si>
    <r>
      <t xml:space="preserve">MACORIS MLG, ANDRIGHETTI MTM, OTRERA VCG, CARVALHO LR, CALDAS-JÚNIOR AL, BROGDON WG. 2007. </t>
    </r>
    <r>
      <rPr>
        <b/>
        <sz val="12"/>
        <color indexed="8"/>
        <rFont val="Arial"/>
        <family val="2"/>
      </rPr>
      <t xml:space="preserve">Association of insecticide use and alteration on </t>
    </r>
    <r>
      <rPr>
        <b/>
        <i/>
        <sz val="12"/>
        <color indexed="8"/>
        <rFont val="Arial"/>
        <family val="2"/>
      </rPr>
      <t>Aedes aegypti</t>
    </r>
    <r>
      <rPr>
        <b/>
        <sz val="12"/>
        <color indexed="8"/>
        <rFont val="Arial"/>
        <family val="2"/>
      </rPr>
      <t xml:space="preserve"> susceptibility status</t>
    </r>
    <r>
      <rPr>
        <i/>
        <sz val="12"/>
        <color indexed="8"/>
        <rFont val="Arial"/>
        <family val="2"/>
      </rPr>
      <t xml:space="preserve">. </t>
    </r>
    <r>
      <rPr>
        <b/>
        <sz val="12"/>
        <color rgb="FF292526"/>
        <rFont val="Arial"/>
        <family val="2"/>
      </rPr>
      <t>Mem Inst Oswaldo Cruz</t>
    </r>
    <r>
      <rPr>
        <i/>
        <sz val="12"/>
        <color rgb="FF292526"/>
        <rFont val="Arial"/>
        <family val="2"/>
      </rPr>
      <t xml:space="preserve">, </t>
    </r>
    <r>
      <rPr>
        <sz val="12"/>
        <color rgb="FF292526"/>
        <rFont val="Arial"/>
        <family val="2"/>
      </rPr>
      <t xml:space="preserve">Rio de Janeiro, Vol. </t>
    </r>
    <r>
      <rPr>
        <i/>
        <sz val="12"/>
        <color rgb="FF292526"/>
        <rFont val="Arial"/>
        <family val="2"/>
      </rPr>
      <t>102</t>
    </r>
    <r>
      <rPr>
        <sz val="12"/>
        <color rgb="FF292526"/>
        <rFont val="Arial"/>
        <family val="2"/>
      </rPr>
      <t>(8): 895-900.</t>
    </r>
  </si>
  <si>
    <r>
      <t xml:space="preserve">MACORIS, MLG, ANDRIGHETTI MTM, WANDERLEY DMV, RIBOLLA PEM. 2014. Impact of insecticide resistance on the field control of Aedes aegypti in the State of São Paulo. </t>
    </r>
    <r>
      <rPr>
        <b/>
        <sz val="12"/>
        <color indexed="8"/>
        <rFont val="Arial"/>
        <family val="2"/>
      </rPr>
      <t>Rev. Soc. Bras. Med. Trop.</t>
    </r>
    <r>
      <rPr>
        <sz val="12"/>
        <color indexed="8"/>
        <rFont val="Arial"/>
        <family val="2"/>
      </rPr>
      <t>, Uberaba, v. 47,n. 5,p. 573-578.</t>
    </r>
  </si>
  <si>
    <t>Reference 7</t>
  </si>
  <si>
    <r>
      <t xml:space="preserve">ANDRIGHETTI MTM, CERONE F, RIGUETI M, GALVANI KC, MACORIS MLG.2008. </t>
    </r>
    <r>
      <rPr>
        <i/>
        <sz val="12"/>
        <color rgb="FF231F20"/>
        <rFont val="Arial"/>
        <family val="2"/>
      </rPr>
      <t xml:space="preserve"> </t>
    </r>
    <r>
      <rPr>
        <sz val="12"/>
        <color indexed="8"/>
        <rFont val="Arial"/>
        <family val="2"/>
      </rPr>
      <t xml:space="preserve">Effect of pyriproxyfen in </t>
    </r>
    <r>
      <rPr>
        <i/>
        <sz val="12"/>
        <color indexed="8"/>
        <rFont val="Arial"/>
        <family val="2"/>
      </rPr>
      <t xml:space="preserve">Aedes aegypti </t>
    </r>
    <r>
      <rPr>
        <sz val="12"/>
        <color indexed="8"/>
        <rFont val="Arial"/>
        <family val="2"/>
      </rPr>
      <t xml:space="preserve">populations with different levels of susceptibility to the organophosphate temephos.  </t>
    </r>
    <r>
      <rPr>
        <b/>
        <sz val="12"/>
        <color indexed="8"/>
        <rFont val="Arial"/>
        <family val="2"/>
      </rPr>
      <t>Dengue Bulletin</t>
    </r>
    <r>
      <rPr>
        <sz val="12"/>
        <color indexed="8"/>
        <rFont val="Arial"/>
        <family val="2"/>
      </rPr>
      <t xml:space="preserve"> (32), 186-198.</t>
    </r>
  </si>
  <si>
    <t>Reference 6</t>
  </si>
  <si>
    <t>Reference 4</t>
  </si>
  <si>
    <t>Reference 5</t>
  </si>
  <si>
    <t>%</t>
  </si>
  <si>
    <t>Reference 2</t>
  </si>
  <si>
    <t>µg</t>
  </si>
  <si>
    <t>Fortaleza - região III</t>
  </si>
  <si>
    <t>Fortaleza - região IV</t>
  </si>
  <si>
    <t>Fortaleza - região V</t>
  </si>
  <si>
    <t xml:space="preserve"> -48, 52488</t>
  </si>
  <si>
    <t>Assuncion - Paraguai</t>
  </si>
  <si>
    <t>Coronel - Paraguai</t>
  </si>
  <si>
    <r>
      <t xml:space="preserve"> mg i.a./m</t>
    </r>
    <r>
      <rPr>
        <vertAlign val="superscript"/>
        <sz val="10"/>
        <rFont val="Arial"/>
        <family val="2"/>
      </rPr>
      <t>2</t>
    </r>
  </si>
  <si>
    <r>
      <t xml:space="preserve"> mg i.a./m</t>
    </r>
    <r>
      <rPr>
        <vertAlign val="superscript"/>
        <sz val="11"/>
        <rFont val="Arial"/>
        <family val="2"/>
      </rPr>
      <t>2</t>
    </r>
  </si>
  <si>
    <t>cypermetrin</t>
  </si>
  <si>
    <t>deltametrin</t>
  </si>
  <si>
    <t>alfacypermetrin</t>
  </si>
  <si>
    <t>permetrin</t>
  </si>
  <si>
    <t>Coordinates long</t>
  </si>
  <si>
    <t xml:space="preserve">Marília </t>
  </si>
  <si>
    <t xml:space="preserve">São Jose dos Campos </t>
  </si>
  <si>
    <t>Measure of error (sd) for D.D.</t>
  </si>
  <si>
    <t xml:space="preserve">Fortaleza - região I </t>
  </si>
  <si>
    <t xml:space="preserve">Fortaleza - região II </t>
  </si>
  <si>
    <t>Jaboatão dos Guararapes</t>
  </si>
  <si>
    <t>Cabo do Santo Agostinho</t>
  </si>
  <si>
    <t>Aracaju</t>
  </si>
  <si>
    <t>Barra dos Coqueiros</t>
  </si>
  <si>
    <t>Itabaiana</t>
  </si>
  <si>
    <t>Arapiraca</t>
  </si>
  <si>
    <t>Maceio</t>
  </si>
  <si>
    <t>60 min</t>
  </si>
  <si>
    <t>30 min</t>
  </si>
  <si>
    <t>45 min</t>
  </si>
  <si>
    <t xml:space="preserve">30 min </t>
  </si>
  <si>
    <t>30min</t>
  </si>
  <si>
    <t>bendiocarb</t>
  </si>
  <si>
    <t>CDC bottle assay</t>
  </si>
  <si>
    <t>WHO 2016 bioassay</t>
  </si>
  <si>
    <t>pyriproxyphen</t>
  </si>
  <si>
    <t>São José dos Campos</t>
  </si>
  <si>
    <t>cypermethrin</t>
  </si>
  <si>
    <t>adult emergence on control</t>
  </si>
  <si>
    <r>
      <rPr>
        <sz val="9"/>
        <rFont val="Arial"/>
        <family val="2"/>
      </rPr>
      <t>µ</t>
    </r>
    <r>
      <rPr>
        <i/>
        <sz val="9"/>
        <rFont val="Arial"/>
        <family val="2"/>
      </rPr>
      <t>g</t>
    </r>
  </si>
  <si>
    <r>
      <t xml:space="preserve"> mg i.a./m</t>
    </r>
    <r>
      <rPr>
        <vertAlign val="superscript"/>
        <sz val="9"/>
        <rFont val="Arial"/>
        <family val="2"/>
      </rPr>
      <t>2</t>
    </r>
  </si>
  <si>
    <t>measure of error</t>
  </si>
  <si>
    <t>for lethal concentrations measure of error was estimated by fidutial limits at LC95</t>
  </si>
  <si>
    <t>for diagnostic dose tests (larvae or adult) measure of error was estimated by standard deviation of tests</t>
  </si>
  <si>
    <t>number of insets: a minimum of three dose-response tests and a minimum of 4 diagnostic dose tests was performed</t>
  </si>
  <si>
    <t>for dose response - a minimum of 8 doses, 4 replicates of 20 larvae</t>
  </si>
  <si>
    <t>for three tests</t>
  </si>
  <si>
    <t>for four tests</t>
  </si>
  <si>
    <t xml:space="preserve">for pyriproxifen dose-response tests </t>
  </si>
  <si>
    <t>concentration</t>
  </si>
  <si>
    <t>the column is empty when the assay is dose-response as we used a range of concentrations/dose</t>
  </si>
  <si>
    <t>when the assay is diagnostic dose or bottle assay, the concentration is the dose used.</t>
  </si>
  <si>
    <t>for diagnostic dose larvae</t>
  </si>
  <si>
    <t>4 tests, 8 replicates, 25 larvae</t>
  </si>
  <si>
    <t>for diagnostic dose adult</t>
  </si>
  <si>
    <t>4 tests, 4 replicates, 24 adults</t>
  </si>
  <si>
    <t>References</t>
  </si>
  <si>
    <r>
      <t xml:space="preserve">MACORIS MLG, MARLENE DE FÁTIMA CAMARGO MF, IONIZETE GARCIA DA SILVA IG, LUIZ TAKAKU L, ANDRIGHETTI MTM. 1995. Modificação da Suscetibilidade de </t>
    </r>
    <r>
      <rPr>
        <i/>
        <sz val="12"/>
        <color indexed="8"/>
        <rFont val="Arial"/>
        <family val="2"/>
      </rPr>
      <t>Aedes</t>
    </r>
    <r>
      <rPr>
        <sz val="12"/>
        <color indexed="8"/>
        <rFont val="Arial"/>
        <family val="2"/>
      </rPr>
      <t xml:space="preserve"> (Stegomyia) </t>
    </r>
    <r>
      <rPr>
        <i/>
        <sz val="12"/>
        <color indexed="8"/>
        <rFont val="Arial"/>
        <family val="2"/>
      </rPr>
      <t>aegypti</t>
    </r>
    <r>
      <rPr>
        <sz val="12"/>
        <color indexed="8"/>
        <rFont val="Arial"/>
        <family val="2"/>
      </rPr>
      <t xml:space="preserve"> ao temephos</t>
    </r>
    <r>
      <rPr>
        <b/>
        <sz val="12"/>
        <color indexed="8"/>
        <rFont val="Arial"/>
        <family val="2"/>
      </rPr>
      <t>.</t>
    </r>
    <r>
      <rPr>
        <sz val="12"/>
        <color indexed="8"/>
        <rFont val="Arial"/>
        <family val="2"/>
      </rPr>
      <t xml:space="preserve">. </t>
    </r>
    <r>
      <rPr>
        <b/>
        <sz val="12"/>
        <color indexed="8"/>
        <rFont val="Arial"/>
        <family val="2"/>
      </rPr>
      <t xml:space="preserve">Revista Pat. Tropical </t>
    </r>
    <r>
      <rPr>
        <sz val="12"/>
        <color indexed="8"/>
        <rFont val="Arial"/>
        <family val="2"/>
      </rPr>
      <t>, 24(1): 31-40.</t>
    </r>
  </si>
  <si>
    <r>
      <t xml:space="preserve">MACORIS MLG, ANDRIGHETTI MTM, TAKAKU L, GLASSER CM, GARBELOTO VC, CIRINO VCB. 1999. Alteração de resposta de suscetibilidade de </t>
    </r>
    <r>
      <rPr>
        <i/>
        <sz val="12"/>
        <color indexed="8"/>
        <rFont val="Arial"/>
        <family val="2"/>
      </rPr>
      <t>Aedes aegypti</t>
    </r>
    <r>
      <rPr>
        <sz val="12"/>
        <color indexed="8"/>
        <rFont val="Arial"/>
        <family val="2"/>
      </rPr>
      <t xml:space="preserve"> a inseticidas orgnofosforados em municípios do estado de São Paulo, SP, Brasil</t>
    </r>
    <r>
      <rPr>
        <b/>
        <sz val="12"/>
        <color indexed="8"/>
        <rFont val="Arial"/>
        <family val="2"/>
      </rPr>
      <t xml:space="preserve"> Rev. Saúde Pública, </t>
    </r>
    <r>
      <rPr>
        <sz val="12"/>
        <color indexed="8"/>
        <rFont val="Arial"/>
        <family val="2"/>
      </rPr>
      <t>33 (5), 521-522, 1999.</t>
    </r>
  </si>
  <si>
    <t>Source of the data</t>
  </si>
  <si>
    <t>Country</t>
  </si>
  <si>
    <t>Collection site</t>
  </si>
  <si>
    <t>Collection date</t>
  </si>
  <si>
    <t>Species</t>
  </si>
  <si>
    <t>Mosquitoes tested</t>
  </si>
  <si>
    <t>Protocol</t>
  </si>
  <si>
    <t>Insecticide</t>
  </si>
  <si>
    <t>No. Mosquitoes</t>
  </si>
  <si>
    <t>Concentration</t>
  </si>
  <si>
    <t>Units</t>
  </si>
  <si>
    <t>mg/L</t>
  </si>
  <si>
    <t>temephos</t>
  </si>
  <si>
    <t>Duration</t>
  </si>
  <si>
    <t>Percent mortality</t>
  </si>
  <si>
    <t xml:space="preserve">Measure of error </t>
  </si>
  <si>
    <t>LC 50</t>
  </si>
  <si>
    <t>LC 95</t>
  </si>
  <si>
    <t>LC 99</t>
  </si>
  <si>
    <t>24 hs</t>
  </si>
  <si>
    <t>Brazil</t>
  </si>
  <si>
    <t>Aedes aegypti</t>
  </si>
  <si>
    <t>WHO 1981 bioassay</t>
  </si>
  <si>
    <t>fenitrothion</t>
  </si>
  <si>
    <t>malathion</t>
  </si>
  <si>
    <t>Sucen Annual Report</t>
  </si>
  <si>
    <t>Pirituba</t>
  </si>
  <si>
    <t>Parnaíba</t>
  </si>
  <si>
    <t>24hs</t>
  </si>
  <si>
    <t>93,4 </t>
  </si>
  <si>
    <t xml:space="preserve"> </t>
  </si>
  <si>
    <t>Araçatuba</t>
  </si>
  <si>
    <t>Barretos</t>
  </si>
  <si>
    <t>Bauru</t>
  </si>
  <si>
    <t>Botucatu</t>
  </si>
  <si>
    <t>Campinas</t>
  </si>
  <si>
    <t>Ipiranga</t>
  </si>
  <si>
    <t>Itapevi</t>
  </si>
  <si>
    <t>Marília</t>
  </si>
  <si>
    <t>Presidente Prudente</t>
  </si>
  <si>
    <t>Ribeirão Preto</t>
  </si>
  <si>
    <t>Santos</t>
  </si>
  <si>
    <t>São Carlos</t>
  </si>
  <si>
    <t>São José Rio Preto</t>
  </si>
  <si>
    <t>São Sebastião</t>
  </si>
  <si>
    <t>Sorocaba</t>
  </si>
  <si>
    <t>Boa Vista</t>
  </si>
  <si>
    <t>Fortaleza</t>
  </si>
  <si>
    <t>Juazeiro Norte</t>
  </si>
  <si>
    <t>Macapá</t>
  </si>
  <si>
    <t>Manaus</t>
  </si>
  <si>
    <t>Teresina</t>
  </si>
  <si>
    <t>Tamandaré</t>
  </si>
  <si>
    <t>Itabuna</t>
  </si>
  <si>
    <t>Salvador</t>
  </si>
  <si>
    <t>Rockefeller</t>
  </si>
  <si>
    <t>Itú</t>
  </si>
  <si>
    <t>Nova Europa</t>
  </si>
  <si>
    <t>Santana do Parnaíba</t>
  </si>
  <si>
    <t>Paranavaí</t>
  </si>
  <si>
    <t>Rio Branco</t>
  </si>
  <si>
    <t>Jandira</t>
  </si>
  <si>
    <t>São José do Rio Preto</t>
  </si>
  <si>
    <t>São Sebastião (DF)</t>
  </si>
  <si>
    <t xml:space="preserve">Bauru </t>
  </si>
  <si>
    <t>Itu</t>
  </si>
  <si>
    <t>Gama Sul</t>
  </si>
  <si>
    <t>Araguaína</t>
  </si>
  <si>
    <t xml:space="preserve">Londrina </t>
  </si>
  <si>
    <t xml:space="preserve">Maringá </t>
  </si>
  <si>
    <t xml:space="preserve">Palmas </t>
  </si>
  <si>
    <t xml:space="preserve">São Luís </t>
  </si>
  <si>
    <t>Brasília</t>
  </si>
  <si>
    <t xml:space="preserve">Rio Branco </t>
  </si>
  <si>
    <t xml:space="preserve">Sobradinho </t>
  </si>
  <si>
    <t xml:space="preserve">Brasília </t>
  </si>
  <si>
    <t>Samambaia</t>
  </si>
  <si>
    <t xml:space="preserve">Foz do Iguaçu </t>
  </si>
  <si>
    <t>Maringá</t>
  </si>
  <si>
    <t xml:space="preserve">Barreiras </t>
  </si>
  <si>
    <t xml:space="preserve">Jacobina </t>
  </si>
  <si>
    <t xml:space="preserve">Salvador </t>
  </si>
  <si>
    <t xml:space="preserve">São Sebastião (DF) </t>
  </si>
  <si>
    <t xml:space="preserve">Santos </t>
  </si>
  <si>
    <t xml:space="preserve">Araguaína </t>
  </si>
  <si>
    <t xml:space="preserve">Gama Sul </t>
  </si>
  <si>
    <t>Planaltina</t>
  </si>
  <si>
    <t xml:space="preserve">Ilheús </t>
  </si>
  <si>
    <t xml:space="preserve">Jequié </t>
  </si>
  <si>
    <t>Campo Grande</t>
  </si>
  <si>
    <t>Coxim</t>
  </si>
  <si>
    <t>Dourados</t>
  </si>
  <si>
    <t>Três Lagoas</t>
  </si>
  <si>
    <t>Ponta Porã</t>
  </si>
  <si>
    <t>Eunápolis</t>
  </si>
  <si>
    <t>Paulo Afonso</t>
  </si>
  <si>
    <t>Borba</t>
  </si>
  <si>
    <t>Barreiras</t>
  </si>
  <si>
    <t>Ibotirama</t>
  </si>
  <si>
    <t>Jequié</t>
  </si>
  <si>
    <t>Serrinha</t>
  </si>
  <si>
    <t>Corumbá</t>
  </si>
  <si>
    <t>Natal</t>
  </si>
  <si>
    <t>Juazeiro</t>
  </si>
  <si>
    <t>Jacobina</t>
  </si>
  <si>
    <t>diflubenzuron</t>
  </si>
  <si>
    <t>Registro</t>
  </si>
  <si>
    <t>ethophemprox</t>
  </si>
  <si>
    <t>f1 - larvae</t>
  </si>
  <si>
    <t>F1 -adult</t>
  </si>
  <si>
    <t>F2 -adult</t>
  </si>
  <si>
    <t>Araripina</t>
  </si>
  <si>
    <t>Recife</t>
  </si>
  <si>
    <t>Floriano</t>
  </si>
  <si>
    <t>Tocantins</t>
  </si>
  <si>
    <t>Goiânia</t>
  </si>
  <si>
    <t>Belo Horizonte</t>
  </si>
  <si>
    <t>f2 - larvae</t>
  </si>
  <si>
    <t>Lab - larvae</t>
  </si>
  <si>
    <t>f1 - adult</t>
  </si>
  <si>
    <t>Lab - adult</t>
  </si>
  <si>
    <t>Coordinates lat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</si>
</sst>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0"/>
    <numFmt numFmtId="166" formatCode="0.00000"/>
    <numFmt numFmtId="167" formatCode="0.000000"/>
    <numFmt numFmtId="168" formatCode="_(* #,##0.00_);_(* \(#,##0.00\);_(* \-??_);_(@_)"/>
    <numFmt numFmtId="169" formatCode="#,##0.0000"/>
  </numFmts>
  <fonts count="49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2"/>
      <color indexed="8"/>
      <name val="Arial"/>
      <family val="2"/>
    </font>
    <font>
      <sz val="12"/>
      <color indexed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i/>
      <sz val="9"/>
      <name val="Arial"/>
      <family val="2"/>
    </font>
    <font>
      <sz val="11"/>
      <name val="Arial"/>
      <family val="2"/>
    </font>
    <font>
      <sz val="10"/>
      <color indexed="10"/>
      <name val="Arial"/>
      <family val="2"/>
    </font>
    <font>
      <sz val="9"/>
      <color indexed="8"/>
      <name val="Arial"/>
      <family val="2"/>
    </font>
    <font>
      <sz val="10"/>
      <color indexed="18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color indexed="63"/>
      <name val="Arial"/>
      <family val="2"/>
    </font>
    <font>
      <sz val="9"/>
      <color indexed="10"/>
      <name val="Arial"/>
      <family val="2"/>
    </font>
    <font>
      <sz val="9"/>
      <color indexed="1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10"/>
      <name val="Arial"/>
      <family val="2"/>
    </font>
    <font>
      <i/>
      <sz val="12"/>
      <color indexed="8"/>
      <name val="Arial"/>
      <family val="2"/>
    </font>
    <font>
      <sz val="12"/>
      <color rgb="FF252B32"/>
      <name val="Arial"/>
      <family val="2"/>
    </font>
    <font>
      <b/>
      <i/>
      <sz val="12"/>
      <color indexed="8"/>
      <name val="Arial"/>
      <family val="2"/>
    </font>
    <font>
      <b/>
      <sz val="12"/>
      <color rgb="FF292526"/>
      <name val="Arial"/>
      <family val="2"/>
    </font>
    <font>
      <i/>
      <sz val="12"/>
      <color rgb="FF292526"/>
      <name val="Arial"/>
      <family val="2"/>
    </font>
    <font>
      <sz val="12"/>
      <color rgb="FF292526"/>
      <name val="Arial"/>
      <family val="2"/>
    </font>
    <font>
      <sz val="12"/>
      <color rgb="FF231F20"/>
      <name val="Arial"/>
      <family val="2"/>
    </font>
    <font>
      <i/>
      <sz val="12"/>
      <color rgb="FF231F20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9"/>
      <color rgb="FF6C6C6C"/>
      <name val="Arial"/>
      <family val="2"/>
    </font>
    <font>
      <b/>
      <sz val="11"/>
      <color indexed="8"/>
      <name val="Arial"/>
      <family val="2"/>
    </font>
    <font>
      <vertAlign val="superscript"/>
      <sz val="11"/>
      <name val="Arial"/>
      <family val="2"/>
    </font>
    <font>
      <b/>
      <sz val="10"/>
      <color indexed="8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sz val="10"/>
      <name val="Calibri"/>
      <family val="2"/>
      <scheme val="minor"/>
    </font>
    <font>
      <sz val="9"/>
      <color indexed="12"/>
      <name val="Arial"/>
      <family val="2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0" borderId="0"/>
    <xf numFmtId="0" fontId="1" fillId="0" borderId="0"/>
    <xf numFmtId="0" fontId="19" fillId="0" borderId="0"/>
    <xf numFmtId="0" fontId="27" fillId="0" borderId="0"/>
    <xf numFmtId="168" fontId="1" fillId="0" borderId="0" applyFill="0" applyBorder="0" applyAlignment="0" applyProtection="0"/>
  </cellStyleXfs>
  <cellXfs count="290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165" fontId="5" fillId="0" borderId="1" xfId="0" applyNumberFormat="1" applyFont="1" applyFill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165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4" fontId="5" fillId="0" borderId="1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5" fontId="5" fillId="0" borderId="2" xfId="0" applyNumberFormat="1" applyFont="1" applyFill="1" applyBorder="1" applyAlignment="1">
      <alignment horizont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/>
    </xf>
    <xf numFmtId="1" fontId="5" fillId="0" borderId="1" xfId="0" applyNumberFormat="1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164" fontId="13" fillId="0" borderId="0" xfId="0" applyNumberFormat="1" applyFont="1" applyFill="1" applyBorder="1" applyAlignment="1" applyProtection="1">
      <alignment horizontal="center"/>
    </xf>
    <xf numFmtId="164" fontId="15" fillId="0" borderId="0" xfId="0" applyNumberFormat="1" applyFont="1" applyFill="1" applyBorder="1" applyAlignment="1" applyProtection="1">
      <alignment horizontal="center" vertical="top" wrapText="1"/>
    </xf>
    <xf numFmtId="164" fontId="15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/>
    </xf>
    <xf numFmtId="0" fontId="13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1" xfId="0" applyNumberFormat="1" applyFont="1" applyFill="1" applyBorder="1" applyAlignment="1" applyProtection="1">
      <alignment horizontal="center"/>
    </xf>
    <xf numFmtId="1" fontId="5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center"/>
    </xf>
    <xf numFmtId="164" fontId="5" fillId="0" borderId="1" xfId="0" applyNumberFormat="1" applyFont="1" applyFill="1" applyBorder="1" applyAlignment="1" applyProtection="1">
      <alignment horizontal="center"/>
    </xf>
    <xf numFmtId="0" fontId="5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/>
    </xf>
    <xf numFmtId="0" fontId="5" fillId="0" borderId="1" xfId="3" applyFont="1" applyFill="1" applyBorder="1" applyAlignment="1">
      <alignment horizontal="center"/>
    </xf>
    <xf numFmtId="164" fontId="5" fillId="0" borderId="0" xfId="3" applyNumberFormat="1" applyFont="1" applyFill="1" applyBorder="1" applyAlignment="1">
      <alignment horizontal="center"/>
    </xf>
    <xf numFmtId="164" fontId="5" fillId="0" borderId="1" xfId="3" applyNumberFormat="1" applyFont="1" applyFill="1" applyBorder="1" applyAlignment="1">
      <alignment horizontal="center"/>
    </xf>
    <xf numFmtId="1" fontId="5" fillId="0" borderId="0" xfId="3" applyNumberFormat="1" applyFont="1" applyFill="1" applyBorder="1" applyAlignment="1">
      <alignment horizontal="center"/>
    </xf>
    <xf numFmtId="1" fontId="5" fillId="0" borderId="1" xfId="3" applyNumberFormat="1" applyFont="1" applyFill="1" applyBorder="1" applyAlignment="1">
      <alignment horizontal="center"/>
    </xf>
    <xf numFmtId="164" fontId="5" fillId="0" borderId="0" xfId="3" applyNumberFormat="1" applyFont="1" applyFill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20" fillId="0" borderId="0" xfId="0" applyNumberFormat="1" applyFont="1" applyBorder="1" applyAlignment="1">
      <alignment horizontal="center"/>
    </xf>
    <xf numFmtId="1" fontId="22" fillId="0" borderId="0" xfId="0" applyNumberFormat="1" applyFont="1" applyFill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164" fontId="5" fillId="0" borderId="0" xfId="0" applyNumberFormat="1" applyFont="1" applyFill="1" applyBorder="1" applyAlignment="1" applyProtection="1">
      <alignment horizontal="center" vertical="top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8" fillId="0" borderId="0" xfId="3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167" fontId="23" fillId="0" borderId="0" xfId="0" applyNumberFormat="1" applyFont="1" applyAlignment="1">
      <alignment horizontal="center"/>
    </xf>
    <xf numFmtId="167" fontId="23" fillId="0" borderId="1" xfId="0" applyNumberFormat="1" applyFont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7" fontId="23" fillId="0" borderId="0" xfId="0" applyNumberFormat="1" applyFont="1" applyBorder="1" applyAlignment="1">
      <alignment horizontal="center"/>
    </xf>
    <xf numFmtId="0" fontId="22" fillId="0" borderId="0" xfId="0" applyFont="1" applyFill="1" applyBorder="1" applyAlignment="1">
      <alignment horizontal="center"/>
    </xf>
    <xf numFmtId="0" fontId="11" fillId="0" borderId="1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2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0" fontId="25" fillId="0" borderId="0" xfId="0" applyFont="1" applyBorder="1" applyAlignment="1">
      <alignment horizontal="center"/>
    </xf>
    <xf numFmtId="0" fontId="25" fillId="0" borderId="1" xfId="0" applyFont="1" applyBorder="1" applyAlignment="1">
      <alignment horizontal="center"/>
    </xf>
    <xf numFmtId="167" fontId="14" fillId="0" borderId="0" xfId="0" applyNumberFormat="1" applyFont="1" applyAlignment="1">
      <alignment horizontal="center"/>
    </xf>
    <xf numFmtId="167" fontId="14" fillId="0" borderId="1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4" fontId="5" fillId="0" borderId="0" xfId="4" applyNumberFormat="1" applyFont="1" applyBorder="1" applyAlignment="1">
      <alignment horizontal="center"/>
    </xf>
    <xf numFmtId="0" fontId="5" fillId="0" borderId="0" xfId="4" applyFont="1" applyFill="1" applyBorder="1" applyAlignment="1">
      <alignment horizontal="center"/>
    </xf>
    <xf numFmtId="0" fontId="5" fillId="0" borderId="0" xfId="4" applyFont="1" applyBorder="1" applyAlignment="1">
      <alignment horizontal="center"/>
    </xf>
    <xf numFmtId="164" fontId="5" fillId="0" borderId="1" xfId="4" applyNumberFormat="1" applyFont="1" applyBorder="1" applyAlignment="1">
      <alignment horizontal="center"/>
    </xf>
    <xf numFmtId="0" fontId="26" fillId="0" borderId="0" xfId="0" applyFont="1"/>
    <xf numFmtId="49" fontId="5" fillId="0" borderId="0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167" fontId="23" fillId="0" borderId="0" xfId="0" applyNumberFormat="1" applyFont="1" applyFill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167" fontId="14" fillId="0" borderId="0" xfId="0" applyNumberFormat="1" applyFont="1" applyBorder="1" applyAlignment="1">
      <alignment horizontal="center"/>
    </xf>
    <xf numFmtId="0" fontId="8" fillId="0" borderId="0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 wrapText="1"/>
    </xf>
    <xf numFmtId="165" fontId="5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6" fillId="0" borderId="0" xfId="0" applyFont="1" applyAlignment="1">
      <alignment horizontal="justify" vertical="center"/>
    </xf>
    <xf numFmtId="0" fontId="30" fillId="0" borderId="0" xfId="0" applyFont="1" applyAlignment="1">
      <alignment horizontal="justify" vertical="center"/>
    </xf>
    <xf numFmtId="0" fontId="29" fillId="0" borderId="0" xfId="0" applyFont="1" applyAlignment="1">
      <alignment horizontal="justify" vertical="center"/>
    </xf>
    <xf numFmtId="0" fontId="35" fillId="0" borderId="0" xfId="0" applyFont="1" applyAlignment="1">
      <alignment horizontal="justify" vertical="center"/>
    </xf>
    <xf numFmtId="0" fontId="37" fillId="0" borderId="0" xfId="0" applyFont="1" applyAlignment="1">
      <alignment horizontal="justify" vertical="center"/>
    </xf>
    <xf numFmtId="0" fontId="26" fillId="0" borderId="0" xfId="0" applyFont="1" applyAlignment="1">
      <alignment horizontal="center"/>
    </xf>
    <xf numFmtId="0" fontId="5" fillId="2" borderId="1" xfId="0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7" fontId="14" fillId="0" borderId="0" xfId="0" applyNumberFormat="1" applyFont="1" applyFill="1" applyAlignment="1">
      <alignment horizontal="center"/>
    </xf>
    <xf numFmtId="167" fontId="14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8" fillId="0" borderId="0" xfId="0" applyFont="1" applyAlignment="1">
      <alignment horizontal="center"/>
    </xf>
    <xf numFmtId="0" fontId="21" fillId="0" borderId="0" xfId="0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12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4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44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/>
    </xf>
    <xf numFmtId="0" fontId="44" fillId="0" borderId="0" xfId="0" applyFont="1" applyBorder="1" applyAlignment="1">
      <alignment horizontal="center"/>
    </xf>
    <xf numFmtId="0" fontId="44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43" fillId="0" borderId="0" xfId="0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1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43" fillId="0" borderId="0" xfId="0" applyFont="1" applyBorder="1" applyAlignment="1">
      <alignment horizontal="center" vertical="center"/>
    </xf>
    <xf numFmtId="1" fontId="1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164" fontId="1" fillId="0" borderId="0" xfId="2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1" xfId="0" applyNumberFormat="1" applyFont="1" applyFill="1" applyBorder="1" applyAlignment="1" applyProtection="1">
      <alignment horizontal="center"/>
    </xf>
    <xf numFmtId="0" fontId="9" fillId="0" borderId="0" xfId="0" applyFont="1" applyAlignment="1">
      <alignment horizontal="center"/>
    </xf>
    <xf numFmtId="165" fontId="3" fillId="0" borderId="0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1" fillId="0" borderId="0" xfId="0" applyNumberFormat="1" applyFont="1" applyFill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165" fontId="1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0" fontId="46" fillId="0" borderId="0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12" fillId="0" borderId="0" xfId="2" applyFont="1" applyFill="1" applyBorder="1" applyAlignment="1">
      <alignment horizontal="center"/>
    </xf>
    <xf numFmtId="1" fontId="12" fillId="0" borderId="0" xfId="2" applyNumberFormat="1" applyFont="1" applyFill="1" applyBorder="1" applyAlignment="1">
      <alignment horizontal="center"/>
    </xf>
    <xf numFmtId="1" fontId="12" fillId="0" borderId="0" xfId="2" applyNumberFormat="1" applyFont="1" applyBorder="1" applyAlignment="1">
      <alignment horizontal="center"/>
    </xf>
    <xf numFmtId="0" fontId="18" fillId="0" borderId="0" xfId="2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38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1" fillId="0" borderId="0" xfId="0" applyFont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center" vertical="center"/>
    </xf>
    <xf numFmtId="165" fontId="38" fillId="0" borderId="0" xfId="0" applyNumberFormat="1" applyFont="1" applyAlignment="1">
      <alignment horizontal="center"/>
    </xf>
    <xf numFmtId="164" fontId="38" fillId="0" borderId="0" xfId="0" applyNumberFormat="1" applyFont="1" applyAlignment="1">
      <alignment horizontal="center"/>
    </xf>
    <xf numFmtId="164" fontId="38" fillId="0" borderId="1" xfId="0" applyNumberFormat="1" applyFont="1" applyBorder="1" applyAlignment="1">
      <alignment horizontal="center"/>
    </xf>
    <xf numFmtId="165" fontId="38" fillId="0" borderId="1" xfId="0" applyNumberFormat="1" applyFont="1" applyBorder="1" applyAlignment="1">
      <alignment horizontal="center"/>
    </xf>
    <xf numFmtId="1" fontId="38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9" fontId="1" fillId="0" borderId="0" xfId="0" applyNumberFormat="1" applyFont="1" applyAlignment="1">
      <alignment horizontal="center"/>
    </xf>
    <xf numFmtId="0" fontId="3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center"/>
    </xf>
    <xf numFmtId="0" fontId="1" fillId="0" borderId="0" xfId="1" applyFont="1" applyAlignment="1">
      <alignment horizontal="center"/>
    </xf>
    <xf numFmtId="1" fontId="1" fillId="0" borderId="0" xfId="1" applyNumberFormat="1" applyFont="1" applyFill="1" applyBorder="1" applyAlignment="1">
      <alignment horizontal="center"/>
    </xf>
    <xf numFmtId="164" fontId="1" fillId="0" borderId="0" xfId="1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  <xf numFmtId="164" fontId="1" fillId="0" borderId="0" xfId="1" applyNumberFormat="1" applyFont="1" applyFill="1" applyBorder="1" applyAlignment="1">
      <alignment horizontal="center" vertical="top" wrapText="1"/>
    </xf>
    <xf numFmtId="0" fontId="1" fillId="0" borderId="0" xfId="1" applyFont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/>
    </xf>
    <xf numFmtId="164" fontId="15" fillId="0" borderId="0" xfId="1" applyNumberFormat="1" applyFont="1" applyFill="1" applyBorder="1" applyAlignment="1">
      <alignment horizontal="center" vertical="top" wrapText="1"/>
    </xf>
    <xf numFmtId="0" fontId="1" fillId="0" borderId="1" xfId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44" fillId="0" borderId="0" xfId="0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167" fontId="14" fillId="0" borderId="0" xfId="0" applyNumberFormat="1" applyFont="1" applyFill="1" applyBorder="1" applyAlignment="1">
      <alignment horizontal="center"/>
    </xf>
    <xf numFmtId="165" fontId="5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28" fillId="0" borderId="0" xfId="0" applyFont="1" applyBorder="1" applyAlignment="1">
      <alignment horizontal="center"/>
    </xf>
    <xf numFmtId="164" fontId="47" fillId="0" borderId="0" xfId="0" applyNumberFormat="1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1" fillId="0" borderId="0" xfId="1" applyFont="1" applyFill="1" applyAlignment="1">
      <alignment horizontal="center"/>
    </xf>
    <xf numFmtId="0" fontId="2" fillId="0" borderId="0" xfId="0" applyNumberFormat="1" applyFont="1" applyAlignment="1">
      <alignment horizontal="center"/>
    </xf>
    <xf numFmtId="0" fontId="9" fillId="0" borderId="0" xfId="0" applyNumberFormat="1" applyFont="1" applyFill="1" applyBorder="1" applyAlignment="1" applyProtection="1">
      <alignment horizontal="center" wrapText="1"/>
    </xf>
    <xf numFmtId="0" fontId="25" fillId="0" borderId="0" xfId="0" applyFont="1" applyFill="1" applyAlignment="1">
      <alignment horizontal="center"/>
    </xf>
    <xf numFmtId="0" fontId="39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8" fillId="0" borderId="0" xfId="0" applyFont="1" applyAlignment="1">
      <alignment horizontal="left"/>
    </xf>
    <xf numFmtId="0" fontId="5" fillId="0" borderId="1" xfId="0" applyFont="1" applyFill="1" applyBorder="1" applyAlignment="1">
      <alignment horizontal="left"/>
    </xf>
    <xf numFmtId="49" fontId="2" fillId="0" borderId="0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38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center"/>
    </xf>
    <xf numFmtId="1" fontId="1" fillId="2" borderId="0" xfId="1" applyNumberFormat="1" applyFont="1" applyFill="1" applyBorder="1" applyAlignment="1">
      <alignment horizontal="center"/>
    </xf>
    <xf numFmtId="1" fontId="5" fillId="2" borderId="0" xfId="0" applyNumberFormat="1" applyFont="1" applyFill="1" applyBorder="1" applyAlignment="1" applyProtection="1">
      <alignment horizontal="center"/>
    </xf>
    <xf numFmtId="164" fontId="38" fillId="2" borderId="0" xfId="0" applyNumberFormat="1" applyFont="1" applyFill="1" applyAlignment="1">
      <alignment horizontal="center"/>
    </xf>
    <xf numFmtId="164" fontId="1" fillId="2" borderId="0" xfId="0" applyNumberFormat="1" applyFont="1" applyFill="1" applyBorder="1" applyAlignment="1" applyProtection="1">
      <alignment horizontal="center"/>
    </xf>
    <xf numFmtId="1" fontId="1" fillId="2" borderId="0" xfId="0" applyNumberFormat="1" applyFont="1" applyFill="1" applyBorder="1" applyAlignment="1" applyProtection="1">
      <alignment horizontal="center"/>
    </xf>
    <xf numFmtId="0" fontId="1" fillId="2" borderId="0" xfId="0" applyNumberFormat="1" applyFont="1" applyFill="1" applyBorder="1" applyAlignment="1" applyProtection="1">
      <alignment horizontal="center"/>
    </xf>
    <xf numFmtId="164" fontId="5" fillId="2" borderId="0" xfId="3" applyNumberFormat="1" applyFont="1" applyFill="1" applyBorder="1" applyAlignment="1">
      <alignment horizontal="center" vertical="center"/>
    </xf>
    <xf numFmtId="164" fontId="5" fillId="2" borderId="0" xfId="3" applyNumberFormat="1" applyFont="1" applyFill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5" fillId="2" borderId="0" xfId="3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1" fillId="0" borderId="0" xfId="1" applyFont="1" applyFill="1" applyBorder="1" applyAlignment="1">
      <alignment horizontal="center"/>
    </xf>
  </cellXfs>
  <cellStyles count="6">
    <cellStyle name="Normal" xfId="0" builtinId="0"/>
    <cellStyle name="Normal 2" xfId="1"/>
    <cellStyle name="Normal 3" xfId="2"/>
    <cellStyle name="Normal 4" xfId="3"/>
    <cellStyle name="Normal 5" xfId="4"/>
    <cellStyle name="Vírgula 2" xfId="5"/>
  </cellStyles>
  <dxfs count="375"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auto="1"/>
      </font>
    </dxf>
    <dxf>
      <font>
        <color auto="1"/>
      </font>
    </dxf>
    <dxf>
      <font>
        <color theme="1"/>
      </font>
    </dxf>
    <dxf>
      <font>
        <condense val="0"/>
        <extend val="0"/>
        <color auto="1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lor theme="3"/>
      </font>
    </dxf>
    <dxf>
      <font>
        <color rgb="FFC00000"/>
      </font>
    </dxf>
    <dxf>
      <font>
        <color auto="1"/>
      </font>
    </dxf>
    <dxf>
      <font>
        <color theme="1"/>
      </font>
    </dxf>
    <dxf>
      <font>
        <color theme="3"/>
      </font>
    </dxf>
    <dxf>
      <font>
        <color rgb="FFC0000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2"/>
  <colors>
    <mruColors>
      <color rgb="FF2A2DBA"/>
      <color rgb="FF3E04E0"/>
      <color rgb="FF0408A4"/>
      <color rgb="FF2D03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20" Type="http://schemas.openxmlformats.org/officeDocument/2006/relationships/worksheet" Target="worksheets/sheet20.xml"/><Relationship Id="rId21" Type="http://schemas.openxmlformats.org/officeDocument/2006/relationships/theme" Target="theme/theme1.xml"/><Relationship Id="rId22" Type="http://schemas.openxmlformats.org/officeDocument/2006/relationships/styles" Target="styles.xml"/><Relationship Id="rId23" Type="http://schemas.openxmlformats.org/officeDocument/2006/relationships/sharedStrings" Target="sharedStrings.xml"/><Relationship Id="rId24" Type="http://schemas.openxmlformats.org/officeDocument/2006/relationships/calcChain" Target="calcChain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:a="http://schemas.openxmlformats.org/drawingml/2006/main" xmlns="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14"/>
  <sheetViews>
    <sheetView workbookViewId="0">
      <selection activeCell="A10" sqref="A10"/>
    </sheetView>
  </sheetViews>
  <sheetFormatPr baseColWidth="10" defaultColWidth="8.83203125" defaultRowHeight="14.25" customHeight="1"/>
  <cols>
    <col min="1" max="1" width="17.83203125" style="158" bestFit="1" customWidth="1"/>
    <col min="2" max="2" width="7" style="158" bestFit="1" customWidth="1"/>
    <col min="3" max="3" width="17.5" style="158" bestFit="1" customWidth="1"/>
    <col min="4" max="4" width="13.1640625" style="158" bestFit="1" customWidth="1"/>
    <col min="5" max="5" width="14.6640625" style="158" bestFit="1" customWidth="1"/>
    <col min="6" max="6" width="12.6640625" style="158" customWidth="1"/>
    <col min="7" max="7" width="12.6640625" style="158" bestFit="1" customWidth="1"/>
    <col min="8" max="8" width="15.5" style="158" bestFit="1" customWidth="1"/>
    <col min="9" max="9" width="17.5" style="158" bestFit="1" customWidth="1"/>
    <col min="10" max="10" width="9.5" style="158" bestFit="1" customWidth="1"/>
    <col min="11" max="11" width="13.5" style="158" bestFit="1" customWidth="1"/>
    <col min="12" max="12" width="12" style="158" bestFit="1" customWidth="1"/>
    <col min="13" max="13" width="5.1640625" style="158" bestFit="1" customWidth="1"/>
    <col min="14" max="14" width="7.6640625" style="158" bestFit="1" customWidth="1"/>
    <col min="15" max="15" width="14.1640625" style="158" bestFit="1" customWidth="1"/>
    <col min="16" max="16" width="14.5" style="158" bestFit="1" customWidth="1"/>
    <col min="17" max="19" width="5.6640625" style="158" bestFit="1" customWidth="1"/>
    <col min="20" max="16384" width="8.83203125" style="15"/>
  </cols>
  <sheetData>
    <row r="1" spans="1:21" ht="14.25" customHeight="1" thickBot="1">
      <c r="A1" s="11" t="s">
        <v>69</v>
      </c>
      <c r="B1" s="11" t="s">
        <v>70</v>
      </c>
      <c r="C1" s="11" t="s">
        <v>71</v>
      </c>
      <c r="D1" s="90" t="s">
        <v>190</v>
      </c>
      <c r="E1" s="90" t="s">
        <v>24</v>
      </c>
      <c r="F1" s="11" t="s">
        <v>72</v>
      </c>
      <c r="G1" s="11" t="s">
        <v>73</v>
      </c>
      <c r="H1" s="11" t="s">
        <v>74</v>
      </c>
      <c r="I1" s="11" t="s">
        <v>75</v>
      </c>
      <c r="J1" s="11" t="s">
        <v>76</v>
      </c>
      <c r="K1" s="1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21" ht="14.25" customHeight="1">
      <c r="A2" s="158" t="s">
        <v>94</v>
      </c>
      <c r="B2" s="158" t="s">
        <v>89</v>
      </c>
      <c r="C2" s="158" t="s">
        <v>100</v>
      </c>
      <c r="D2" s="155">
        <v>-50.439226072752582</v>
      </c>
      <c r="E2" s="155">
        <v>-21.205476000000004</v>
      </c>
      <c r="F2" s="158">
        <v>1996</v>
      </c>
      <c r="G2" s="83" t="s">
        <v>90</v>
      </c>
      <c r="H2" s="27" t="s">
        <v>177</v>
      </c>
      <c r="I2" s="158" t="s">
        <v>91</v>
      </c>
      <c r="J2" s="158" t="s">
        <v>81</v>
      </c>
      <c r="K2" s="158">
        <v>800</v>
      </c>
      <c r="L2" s="158">
        <v>1.2E-2</v>
      </c>
      <c r="M2" s="158" t="s">
        <v>80</v>
      </c>
      <c r="N2" s="158" t="s">
        <v>88</v>
      </c>
      <c r="O2" s="158">
        <v>100</v>
      </c>
      <c r="P2" s="130"/>
      <c r="Q2" s="8"/>
      <c r="R2" s="8"/>
      <c r="S2" s="8"/>
    </row>
    <row r="3" spans="1:21" ht="14.25" customHeight="1">
      <c r="A3" s="158" t="s">
        <v>94</v>
      </c>
      <c r="B3" s="158" t="s">
        <v>89</v>
      </c>
      <c r="C3" s="158" t="s">
        <v>102</v>
      </c>
      <c r="D3" s="155">
        <v>-49.083000867090362</v>
      </c>
      <c r="E3" s="155">
        <v>-22.325122500000006</v>
      </c>
      <c r="F3" s="158">
        <v>1996</v>
      </c>
      <c r="G3" s="83" t="s">
        <v>90</v>
      </c>
      <c r="H3" s="27" t="s">
        <v>177</v>
      </c>
      <c r="I3" s="158" t="s">
        <v>91</v>
      </c>
      <c r="J3" s="158" t="s">
        <v>81</v>
      </c>
      <c r="K3" s="158">
        <v>800</v>
      </c>
      <c r="L3" s="158">
        <v>1.2E-2</v>
      </c>
      <c r="M3" s="158" t="s">
        <v>80</v>
      </c>
      <c r="N3" s="158" t="s">
        <v>88</v>
      </c>
      <c r="O3" s="158">
        <v>100</v>
      </c>
      <c r="P3" s="132"/>
      <c r="R3" s="5"/>
      <c r="S3" s="5"/>
    </row>
    <row r="4" spans="1:21" ht="14.25" customHeight="1">
      <c r="A4" s="158" t="s">
        <v>94</v>
      </c>
      <c r="B4" s="158" t="s">
        <v>89</v>
      </c>
      <c r="C4" s="158" t="s">
        <v>107</v>
      </c>
      <c r="D4" s="109">
        <v>-49.951645643103269</v>
      </c>
      <c r="E4" s="109">
        <v>-22.122743500000002</v>
      </c>
      <c r="F4" s="158">
        <v>1996</v>
      </c>
      <c r="G4" s="83" t="s">
        <v>90</v>
      </c>
      <c r="H4" s="27" t="s">
        <v>177</v>
      </c>
      <c r="I4" s="158" t="s">
        <v>91</v>
      </c>
      <c r="J4" s="158" t="s">
        <v>81</v>
      </c>
      <c r="K4" s="158">
        <v>800</v>
      </c>
      <c r="L4" s="158">
        <v>1.2E-2</v>
      </c>
      <c r="M4" s="158" t="s">
        <v>80</v>
      </c>
      <c r="N4" s="158" t="s">
        <v>88</v>
      </c>
      <c r="O4" s="158">
        <v>100</v>
      </c>
      <c r="P4" s="132"/>
    </row>
    <row r="5" spans="1:21" ht="14.25" customHeight="1">
      <c r="A5" s="158" t="s">
        <v>94</v>
      </c>
      <c r="B5" s="158" t="s">
        <v>89</v>
      </c>
      <c r="C5" s="158" t="s">
        <v>108</v>
      </c>
      <c r="D5" s="109">
        <v>-51.386765581912492</v>
      </c>
      <c r="E5" s="109">
        <v>-24.494251427999906</v>
      </c>
      <c r="F5" s="158">
        <v>1996</v>
      </c>
      <c r="G5" s="83" t="s">
        <v>90</v>
      </c>
      <c r="H5" s="27" t="s">
        <v>177</v>
      </c>
      <c r="I5" s="158" t="s">
        <v>91</v>
      </c>
      <c r="J5" s="158" t="s">
        <v>81</v>
      </c>
      <c r="K5" s="158">
        <v>800</v>
      </c>
      <c r="L5" s="158">
        <v>1.2E-2</v>
      </c>
      <c r="M5" s="158" t="s">
        <v>80</v>
      </c>
      <c r="N5" s="158" t="s">
        <v>88</v>
      </c>
      <c r="O5" s="158">
        <v>100</v>
      </c>
      <c r="R5" s="10"/>
      <c r="S5" s="10"/>
    </row>
    <row r="6" spans="1:21" ht="14.25" customHeight="1">
      <c r="A6" s="158" t="s">
        <v>94</v>
      </c>
      <c r="B6" s="158" t="s">
        <v>89</v>
      </c>
      <c r="C6" s="158" t="s">
        <v>109</v>
      </c>
      <c r="D6" s="109">
        <v>-47.805475915541528</v>
      </c>
      <c r="E6" s="109">
        <v>-21.184834500000004</v>
      </c>
      <c r="F6" s="158">
        <v>1996</v>
      </c>
      <c r="G6" s="83" t="s">
        <v>90</v>
      </c>
      <c r="H6" s="27" t="s">
        <v>177</v>
      </c>
      <c r="I6" s="158" t="s">
        <v>91</v>
      </c>
      <c r="J6" s="158" t="s">
        <v>81</v>
      </c>
      <c r="K6" s="158">
        <v>800</v>
      </c>
      <c r="L6" s="158">
        <v>1.2E-2</v>
      </c>
      <c r="M6" s="158" t="s">
        <v>80</v>
      </c>
      <c r="N6" s="158" t="s">
        <v>88</v>
      </c>
      <c r="O6" s="158">
        <v>98.7</v>
      </c>
    </row>
    <row r="7" spans="1:21" ht="14.25" customHeight="1" thickBot="1">
      <c r="A7" s="11" t="s">
        <v>94</v>
      </c>
      <c r="B7" s="11" t="s">
        <v>89</v>
      </c>
      <c r="C7" s="11" t="s">
        <v>112</v>
      </c>
      <c r="D7" s="110">
        <v>-49.381347685025794</v>
      </c>
      <c r="E7" s="110">
        <v>-20.812636500000004</v>
      </c>
      <c r="F7" s="11">
        <v>1996</v>
      </c>
      <c r="G7" s="98" t="s">
        <v>90</v>
      </c>
      <c r="H7" s="11" t="s">
        <v>177</v>
      </c>
      <c r="I7" s="11" t="s">
        <v>91</v>
      </c>
      <c r="J7" s="11" t="s">
        <v>81</v>
      </c>
      <c r="K7" s="11">
        <v>800</v>
      </c>
      <c r="L7" s="11">
        <v>1.2E-2</v>
      </c>
      <c r="M7" s="11" t="s">
        <v>80</v>
      </c>
      <c r="N7" s="11" t="s">
        <v>88</v>
      </c>
      <c r="O7" s="11">
        <v>99.5</v>
      </c>
      <c r="U7" s="133"/>
    </row>
    <row r="8" spans="1:21" ht="14.25" customHeight="1">
      <c r="A8" s="158" t="s">
        <v>94</v>
      </c>
      <c r="B8" s="158" t="s">
        <v>89</v>
      </c>
      <c r="C8" s="158" t="s">
        <v>100</v>
      </c>
      <c r="D8" s="155">
        <v>-50.439226072752582</v>
      </c>
      <c r="E8" s="155">
        <v>-21.205476000000004</v>
      </c>
      <c r="F8" s="158">
        <v>1997</v>
      </c>
      <c r="G8" s="83" t="s">
        <v>90</v>
      </c>
      <c r="H8" s="27" t="s">
        <v>177</v>
      </c>
      <c r="I8" s="158" t="s">
        <v>91</v>
      </c>
      <c r="J8" s="158" t="s">
        <v>81</v>
      </c>
      <c r="K8" s="158">
        <v>800</v>
      </c>
      <c r="L8" s="158">
        <v>1.2E-2</v>
      </c>
      <c r="M8" s="158" t="s">
        <v>80</v>
      </c>
      <c r="N8" s="158" t="s">
        <v>88</v>
      </c>
      <c r="O8" s="111">
        <v>100</v>
      </c>
      <c r="R8" s="5"/>
      <c r="S8" s="5"/>
    </row>
    <row r="9" spans="1:21" ht="14.25" customHeight="1">
      <c r="A9" s="158" t="s">
        <v>94</v>
      </c>
      <c r="B9" s="158" t="s">
        <v>89</v>
      </c>
      <c r="C9" s="158" t="s">
        <v>102</v>
      </c>
      <c r="D9" s="155">
        <v>-49.083000867090362</v>
      </c>
      <c r="E9" s="155">
        <v>-22.325122500000006</v>
      </c>
      <c r="F9" s="158">
        <v>1997</v>
      </c>
      <c r="G9" s="83" t="s">
        <v>90</v>
      </c>
      <c r="H9" s="27" t="s">
        <v>177</v>
      </c>
      <c r="I9" s="158" t="s">
        <v>91</v>
      </c>
      <c r="J9" s="158" t="s">
        <v>81</v>
      </c>
      <c r="K9" s="158">
        <v>800</v>
      </c>
      <c r="L9" s="158">
        <v>1.2E-2</v>
      </c>
      <c r="M9" s="158" t="s">
        <v>80</v>
      </c>
      <c r="N9" s="158" t="s">
        <v>88</v>
      </c>
      <c r="O9" s="111">
        <v>100</v>
      </c>
      <c r="R9" s="10"/>
      <c r="S9" s="10"/>
    </row>
    <row r="10" spans="1:21" ht="14.25" customHeight="1">
      <c r="A10" s="158" t="s">
        <v>94</v>
      </c>
      <c r="B10" s="158" t="s">
        <v>89</v>
      </c>
      <c r="C10" s="158" t="s">
        <v>101</v>
      </c>
      <c r="D10" s="155">
        <v>-48.567377839455055</v>
      </c>
      <c r="E10" s="155">
        <v>-20.558455515000002</v>
      </c>
      <c r="F10" s="158">
        <v>1997</v>
      </c>
      <c r="G10" s="83" t="s">
        <v>90</v>
      </c>
      <c r="H10" s="27" t="s">
        <v>177</v>
      </c>
      <c r="I10" s="158" t="s">
        <v>91</v>
      </c>
      <c r="J10" s="158" t="s">
        <v>81</v>
      </c>
      <c r="K10" s="158">
        <v>800</v>
      </c>
      <c r="L10" s="158">
        <v>1.2E-2</v>
      </c>
      <c r="M10" s="158" t="s">
        <v>80</v>
      </c>
      <c r="N10" s="158" t="s">
        <v>88</v>
      </c>
      <c r="O10" s="111">
        <v>100</v>
      </c>
      <c r="R10" s="10"/>
      <c r="S10" s="10"/>
    </row>
    <row r="11" spans="1:21" ht="14.25" customHeight="1">
      <c r="A11" s="158" t="s">
        <v>94</v>
      </c>
      <c r="B11" s="158" t="s">
        <v>89</v>
      </c>
      <c r="C11" s="158" t="s">
        <v>107</v>
      </c>
      <c r="D11" s="109">
        <v>-49.951645643103269</v>
      </c>
      <c r="E11" s="109">
        <v>-22.122743500000002</v>
      </c>
      <c r="F11" s="158">
        <v>1997</v>
      </c>
      <c r="G11" s="83" t="s">
        <v>90</v>
      </c>
      <c r="H11" s="27" t="s">
        <v>177</v>
      </c>
      <c r="I11" s="158" t="s">
        <v>91</v>
      </c>
      <c r="J11" s="158" t="s">
        <v>81</v>
      </c>
      <c r="K11" s="158">
        <v>800</v>
      </c>
      <c r="L11" s="158">
        <v>1.2E-2</v>
      </c>
      <c r="M11" s="158" t="s">
        <v>80</v>
      </c>
      <c r="N11" s="158" t="s">
        <v>88</v>
      </c>
      <c r="O11" s="111">
        <v>100</v>
      </c>
      <c r="R11" s="10"/>
      <c r="S11" s="10"/>
      <c r="U11" s="134"/>
    </row>
    <row r="12" spans="1:21" ht="14.25" customHeight="1">
      <c r="A12" s="158" t="s">
        <v>94</v>
      </c>
      <c r="B12" s="158" t="s">
        <v>89</v>
      </c>
      <c r="C12" s="158" t="s">
        <v>108</v>
      </c>
      <c r="D12" s="109">
        <v>-51.386765581912492</v>
      </c>
      <c r="E12" s="109">
        <v>-24.494251427999906</v>
      </c>
      <c r="F12" s="158">
        <v>1997</v>
      </c>
      <c r="G12" s="83" t="s">
        <v>90</v>
      </c>
      <c r="H12" s="27" t="s">
        <v>177</v>
      </c>
      <c r="I12" s="158" t="s">
        <v>91</v>
      </c>
      <c r="J12" s="158" t="s">
        <v>81</v>
      </c>
      <c r="K12" s="158">
        <v>800</v>
      </c>
      <c r="L12" s="158">
        <v>1.2E-2</v>
      </c>
      <c r="M12" s="158" t="s">
        <v>80</v>
      </c>
      <c r="N12" s="158" t="s">
        <v>88</v>
      </c>
      <c r="O12" s="111">
        <v>100</v>
      </c>
      <c r="R12" s="10"/>
      <c r="S12" s="10"/>
      <c r="U12" s="135"/>
    </row>
    <row r="13" spans="1:21" ht="14.25" customHeight="1">
      <c r="A13" s="158" t="s">
        <v>94</v>
      </c>
      <c r="B13" s="158" t="s">
        <v>89</v>
      </c>
      <c r="C13" s="158" t="s">
        <v>112</v>
      </c>
      <c r="D13" s="127">
        <v>-49.381347685025794</v>
      </c>
      <c r="E13" s="127">
        <v>-20.812636500000004</v>
      </c>
      <c r="F13" s="158">
        <v>1997</v>
      </c>
      <c r="G13" s="83" t="s">
        <v>90</v>
      </c>
      <c r="H13" s="27" t="s">
        <v>177</v>
      </c>
      <c r="I13" s="158" t="s">
        <v>91</v>
      </c>
      <c r="J13" s="158" t="s">
        <v>81</v>
      </c>
      <c r="K13" s="158">
        <v>800</v>
      </c>
      <c r="L13" s="158">
        <v>1.2E-2</v>
      </c>
      <c r="M13" s="158" t="s">
        <v>80</v>
      </c>
      <c r="N13" s="158" t="s">
        <v>88</v>
      </c>
      <c r="O13" s="111">
        <v>100</v>
      </c>
      <c r="R13" s="10"/>
      <c r="S13" s="5"/>
      <c r="U13" s="134"/>
    </row>
    <row r="14" spans="1:21" ht="14.25" customHeight="1" thickBot="1">
      <c r="A14" s="11" t="s">
        <v>94</v>
      </c>
      <c r="B14" s="11" t="s">
        <v>89</v>
      </c>
      <c r="C14" s="11" t="s">
        <v>110</v>
      </c>
      <c r="D14" s="110">
        <v>-46.331370849190684</v>
      </c>
      <c r="E14" s="110">
        <v>-23.933737500000003</v>
      </c>
      <c r="F14" s="11">
        <v>1997</v>
      </c>
      <c r="G14" s="98" t="s">
        <v>90</v>
      </c>
      <c r="H14" s="11" t="s">
        <v>187</v>
      </c>
      <c r="I14" s="11" t="s">
        <v>91</v>
      </c>
      <c r="J14" s="11" t="s">
        <v>81</v>
      </c>
      <c r="K14" s="11">
        <v>640</v>
      </c>
      <c r="L14" s="11">
        <v>1.2E-2</v>
      </c>
      <c r="M14" s="11" t="s">
        <v>80</v>
      </c>
      <c r="N14" s="11" t="s">
        <v>88</v>
      </c>
      <c r="O14" s="11">
        <v>98.6</v>
      </c>
      <c r="Q14" s="131"/>
      <c r="R14" s="3"/>
      <c r="S14" s="131"/>
    </row>
  </sheetData>
  <phoneticPr fontId="48" type="noConversion"/>
  <conditionalFormatting sqref="Q2:S13">
    <cfRule type="cellIs" dxfId="374" priority="28" stopIfTrue="1" operator="between">
      <formula>0</formula>
      <formula>79.9</formula>
    </cfRule>
    <cfRule type="cellIs" dxfId="373" priority="29" stopIfTrue="1" operator="between">
      <formula>80</formula>
      <formula>97.9</formula>
    </cfRule>
    <cfRule type="cellIs" dxfId="372" priority="30" stopIfTrue="1" operator="between">
      <formula>98</formula>
      <formula>100</formula>
    </cfRule>
  </conditionalFormatting>
  <conditionalFormatting sqref="D2">
    <cfRule type="cellIs" dxfId="371" priority="7" stopIfTrue="1" operator="between">
      <formula>0</formula>
      <formula>79.9</formula>
    </cfRule>
    <cfRule type="cellIs" dxfId="370" priority="8" stopIfTrue="1" operator="between">
      <formula>80</formula>
      <formula>97.9</formula>
    </cfRule>
    <cfRule type="cellIs" dxfId="369" priority="9" stopIfTrue="1" operator="between">
      <formula>98</formula>
      <formula>100</formula>
    </cfRule>
  </conditionalFormatting>
  <conditionalFormatting sqref="D8">
    <cfRule type="cellIs" dxfId="368" priority="4" stopIfTrue="1" operator="between">
      <formula>0</formula>
      <formula>79.9</formula>
    </cfRule>
    <cfRule type="cellIs" dxfId="367" priority="5" stopIfTrue="1" operator="between">
      <formula>80</formula>
      <formula>97.9</formula>
    </cfRule>
    <cfRule type="cellIs" dxfId="366" priority="6" stopIfTrue="1" operator="between">
      <formula>98</formula>
      <formula>100</formula>
    </cfRule>
  </conditionalFormatting>
  <conditionalFormatting sqref="D10">
    <cfRule type="cellIs" dxfId="365" priority="1" stopIfTrue="1" operator="between">
      <formula>0</formula>
      <formula>79.9</formula>
    </cfRule>
    <cfRule type="cellIs" dxfId="364" priority="2" stopIfTrue="1" operator="between">
      <formula>80</formula>
      <formula>97.9</formula>
    </cfRule>
    <cfRule type="cellIs" dxfId="363" priority="3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U159"/>
  <sheetViews>
    <sheetView topLeftCell="A67" workbookViewId="0">
      <selection activeCell="A79" sqref="A79:J79"/>
    </sheetView>
  </sheetViews>
  <sheetFormatPr baseColWidth="10" defaultColWidth="8.83203125" defaultRowHeight="14.25" customHeight="1"/>
  <cols>
    <col min="1" max="1" width="17.83203125" style="18" bestFit="1" customWidth="1"/>
    <col min="2" max="2" width="7" style="18" bestFit="1" customWidth="1"/>
    <col min="3" max="3" width="20" style="18" customWidth="1"/>
    <col min="4" max="4" width="18.83203125" style="18" customWidth="1"/>
    <col min="5" max="5" width="10.6640625" style="18" customWidth="1"/>
    <col min="6" max="7" width="12.6640625" style="18" customWidth="1"/>
    <col min="8" max="8" width="15.5" style="18" customWidth="1"/>
    <col min="9" max="9" width="17.5" style="18" customWidth="1"/>
    <col min="10" max="10" width="10.83203125" style="18" customWidth="1"/>
    <col min="11" max="11" width="13.5" style="18" customWidth="1"/>
    <col min="12" max="12" width="12" style="18" customWidth="1"/>
    <col min="13" max="13" width="9.33203125" style="18" bestFit="1" customWidth="1"/>
    <col min="14" max="14" width="7.6640625" style="18" customWidth="1"/>
    <col min="15" max="15" width="14.1640625" style="18" customWidth="1"/>
    <col min="16" max="16" width="14.5" style="18" bestFit="1" customWidth="1"/>
    <col min="17" max="19" width="7.5" style="18" bestFit="1" customWidth="1"/>
    <col min="20" max="20" width="18.83203125" style="18" bestFit="1" customWidth="1"/>
    <col min="21" max="16384" width="8.83203125" style="18"/>
  </cols>
  <sheetData>
    <row r="1" spans="1:20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2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2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20" ht="14.25" customHeight="1">
      <c r="A2" s="270" t="s">
        <v>94</v>
      </c>
      <c r="B2" s="17" t="s">
        <v>89</v>
      </c>
      <c r="C2" s="9" t="s">
        <v>124</v>
      </c>
      <c r="D2" s="261"/>
      <c r="E2" s="262"/>
      <c r="F2" s="18">
        <v>2007</v>
      </c>
      <c r="G2" s="19" t="s">
        <v>90</v>
      </c>
      <c r="H2" s="18" t="s">
        <v>177</v>
      </c>
      <c r="I2" s="17" t="s">
        <v>91</v>
      </c>
      <c r="J2" s="18" t="s">
        <v>81</v>
      </c>
      <c r="K2" s="18">
        <v>1200</v>
      </c>
      <c r="L2" s="18">
        <v>1.2E-2</v>
      </c>
      <c r="M2" s="18" t="s">
        <v>80</v>
      </c>
      <c r="N2" s="18" t="s">
        <v>88</v>
      </c>
      <c r="O2" s="158">
        <v>100</v>
      </c>
      <c r="P2" s="42">
        <v>1.9999999999999966E-4</v>
      </c>
      <c r="Q2" s="4">
        <v>2.5000000000000001E-3</v>
      </c>
      <c r="R2" s="4">
        <v>4.1999999999999997E-3</v>
      </c>
      <c r="S2" s="4">
        <v>5.1999999999999998E-3</v>
      </c>
      <c r="T2" s="9"/>
    </row>
    <row r="3" spans="1:20" ht="14.25" customHeight="1">
      <c r="A3" s="270" t="s">
        <v>94</v>
      </c>
      <c r="B3" s="17" t="s">
        <v>89</v>
      </c>
      <c r="C3" s="158" t="s">
        <v>100</v>
      </c>
      <c r="D3" s="109">
        <v>-50.439226072752582</v>
      </c>
      <c r="E3" s="109">
        <v>-21.205476000000004</v>
      </c>
      <c r="F3" s="18">
        <v>2007</v>
      </c>
      <c r="G3" s="19" t="s">
        <v>90</v>
      </c>
      <c r="H3" s="18" t="s">
        <v>177</v>
      </c>
      <c r="I3" s="17" t="s">
        <v>91</v>
      </c>
      <c r="J3" s="18" t="s">
        <v>81</v>
      </c>
      <c r="K3" s="158">
        <v>2700</v>
      </c>
      <c r="L3" s="18">
        <v>1.2E-2</v>
      </c>
      <c r="M3" s="18" t="s">
        <v>80</v>
      </c>
      <c r="N3" s="18" t="s">
        <v>88</v>
      </c>
      <c r="O3" s="10">
        <v>78.285714285714292</v>
      </c>
      <c r="P3" s="3">
        <v>1.6000000000000007E-3</v>
      </c>
      <c r="Q3" s="4">
        <v>9.5999999999999992E-3</v>
      </c>
      <c r="R3" s="4">
        <v>1.9599999999999999E-2</v>
      </c>
      <c r="S3" s="4">
        <v>2.7E-2</v>
      </c>
      <c r="T3" s="158"/>
    </row>
    <row r="4" spans="1:20" ht="14.25" customHeight="1">
      <c r="A4" s="270" t="s">
        <v>94</v>
      </c>
      <c r="B4" s="17" t="s">
        <v>89</v>
      </c>
      <c r="C4" s="158" t="s">
        <v>104</v>
      </c>
      <c r="D4" s="109">
        <v>-48.441289384350434</v>
      </c>
      <c r="E4" s="109">
        <v>-22.888381500000008</v>
      </c>
      <c r="F4" s="18">
        <v>2007</v>
      </c>
      <c r="G4" s="19" t="s">
        <v>90</v>
      </c>
      <c r="H4" s="18" t="s">
        <v>177</v>
      </c>
      <c r="I4" s="17" t="s">
        <v>91</v>
      </c>
      <c r="J4" s="18" t="s">
        <v>81</v>
      </c>
      <c r="K4" s="158">
        <v>1800</v>
      </c>
      <c r="L4" s="18">
        <v>1.2E-2</v>
      </c>
      <c r="M4" s="18" t="s">
        <v>80</v>
      </c>
      <c r="N4" s="18" t="s">
        <v>88</v>
      </c>
      <c r="O4" s="10">
        <v>97.866666666666674</v>
      </c>
      <c r="P4" s="3">
        <v>9.9999999999999915E-4</v>
      </c>
      <c r="Q4" s="4">
        <v>7.0000000000000001E-3</v>
      </c>
      <c r="R4" s="4">
        <v>1.4999999999999999E-2</v>
      </c>
      <c r="S4" s="4">
        <v>0.02</v>
      </c>
      <c r="T4" s="158"/>
    </row>
    <row r="5" spans="1:20" ht="14.25" customHeight="1">
      <c r="A5" s="270" t="s">
        <v>94</v>
      </c>
      <c r="B5" s="17" t="s">
        <v>89</v>
      </c>
      <c r="C5" s="158" t="s">
        <v>107</v>
      </c>
      <c r="D5" s="109">
        <v>-49.951645643103269</v>
      </c>
      <c r="E5" s="109">
        <v>-22.214933000000002</v>
      </c>
      <c r="F5" s="18">
        <v>2007</v>
      </c>
      <c r="G5" s="19" t="s">
        <v>90</v>
      </c>
      <c r="H5" s="18" t="s">
        <v>177</v>
      </c>
      <c r="I5" s="17" t="s">
        <v>91</v>
      </c>
      <c r="J5" s="18" t="s">
        <v>81</v>
      </c>
      <c r="K5" s="158">
        <v>2400</v>
      </c>
      <c r="L5" s="18">
        <v>1.2E-2</v>
      </c>
      <c r="M5" s="18" t="s">
        <v>80</v>
      </c>
      <c r="N5" s="18" t="s">
        <v>88</v>
      </c>
      <c r="O5" s="10">
        <v>97.787500000000009</v>
      </c>
      <c r="P5" s="3">
        <v>0</v>
      </c>
      <c r="Q5" s="4">
        <v>6.4000000000000003E-3</v>
      </c>
      <c r="R5" s="4">
        <v>1.4E-2</v>
      </c>
      <c r="S5" s="4">
        <v>0.02</v>
      </c>
      <c r="T5" s="158"/>
    </row>
    <row r="6" spans="1:20" ht="14.25" customHeight="1">
      <c r="A6" s="270" t="s">
        <v>94</v>
      </c>
      <c r="B6" s="17" t="s">
        <v>89</v>
      </c>
      <c r="C6" s="158" t="s">
        <v>108</v>
      </c>
      <c r="D6" s="109">
        <v>-51.386765581912492</v>
      </c>
      <c r="E6" s="109">
        <v>-22.122743500000002</v>
      </c>
      <c r="F6" s="18">
        <v>2007</v>
      </c>
      <c r="G6" s="19" t="s">
        <v>90</v>
      </c>
      <c r="H6" s="18" t="s">
        <v>177</v>
      </c>
      <c r="I6" s="17" t="s">
        <v>91</v>
      </c>
      <c r="J6" s="18" t="s">
        <v>81</v>
      </c>
      <c r="K6" s="158">
        <v>2100</v>
      </c>
      <c r="L6" s="18">
        <v>1.2E-2</v>
      </c>
      <c r="M6" s="18" t="s">
        <v>80</v>
      </c>
      <c r="N6" s="18" t="s">
        <v>88</v>
      </c>
      <c r="O6" s="10">
        <v>93.916666666666671</v>
      </c>
      <c r="P6" s="3">
        <v>2E-3</v>
      </c>
      <c r="Q6" s="4">
        <v>8.3000000000000001E-3</v>
      </c>
      <c r="R6" s="4">
        <v>1.6E-2</v>
      </c>
      <c r="S6" s="4">
        <v>0.02</v>
      </c>
      <c r="T6" s="158"/>
    </row>
    <row r="7" spans="1:20" ht="14.25" customHeight="1">
      <c r="A7" s="270" t="s">
        <v>94</v>
      </c>
      <c r="B7" s="17" t="s">
        <v>89</v>
      </c>
      <c r="C7" s="158" t="s">
        <v>109</v>
      </c>
      <c r="D7" s="109">
        <v>-47.805475915541528</v>
      </c>
      <c r="E7" s="109">
        <v>-21.184834500000004</v>
      </c>
      <c r="F7" s="18">
        <v>2007</v>
      </c>
      <c r="G7" s="19" t="s">
        <v>90</v>
      </c>
      <c r="H7" s="18" t="s">
        <v>177</v>
      </c>
      <c r="I7" s="17" t="s">
        <v>91</v>
      </c>
      <c r="J7" s="18" t="s">
        <v>81</v>
      </c>
      <c r="K7" s="158">
        <v>1200</v>
      </c>
      <c r="L7" s="18">
        <v>1.2E-2</v>
      </c>
      <c r="M7" s="18" t="s">
        <v>80</v>
      </c>
      <c r="N7" s="18" t="s">
        <v>88</v>
      </c>
      <c r="O7" s="10">
        <v>90.4</v>
      </c>
      <c r="P7" s="3">
        <v>9.9999999999999742E-4</v>
      </c>
      <c r="Q7" s="4">
        <v>7.9000000000000008E-3</v>
      </c>
      <c r="R7" s="4">
        <v>1.7999999999999999E-2</v>
      </c>
      <c r="S7" s="4">
        <v>2.5000000000000001E-2</v>
      </c>
      <c r="T7" s="158"/>
    </row>
    <row r="8" spans="1:20" ht="14.25" customHeight="1">
      <c r="A8" s="270" t="s">
        <v>94</v>
      </c>
      <c r="B8" s="17" t="s">
        <v>89</v>
      </c>
      <c r="C8" s="158" t="s">
        <v>110</v>
      </c>
      <c r="D8" s="109">
        <v>-46.331370849190684</v>
      </c>
      <c r="E8" s="109">
        <v>-23.933737500000003</v>
      </c>
      <c r="F8" s="18">
        <v>2007</v>
      </c>
      <c r="G8" s="19" t="s">
        <v>90</v>
      </c>
      <c r="H8" s="18" t="s">
        <v>177</v>
      </c>
      <c r="I8" s="17" t="s">
        <v>91</v>
      </c>
      <c r="J8" s="18" t="s">
        <v>81</v>
      </c>
      <c r="K8" s="158">
        <v>1800</v>
      </c>
      <c r="L8" s="18">
        <v>1.2E-2</v>
      </c>
      <c r="M8" s="18" t="s">
        <v>80</v>
      </c>
      <c r="N8" s="18" t="s">
        <v>88</v>
      </c>
      <c r="O8" s="10">
        <v>73.533333333333331</v>
      </c>
      <c r="P8" s="3">
        <v>9.9999999999999742E-4</v>
      </c>
      <c r="Q8" s="4">
        <v>1.2999999999999999E-2</v>
      </c>
      <c r="R8" s="4">
        <v>1.7999999999999999E-2</v>
      </c>
      <c r="S8" s="4">
        <v>2.1000000000000001E-2</v>
      </c>
      <c r="T8" s="158"/>
    </row>
    <row r="9" spans="1:20" ht="14.25" customHeight="1">
      <c r="A9" s="270" t="s">
        <v>94</v>
      </c>
      <c r="B9" s="17" t="s">
        <v>89</v>
      </c>
      <c r="C9" s="158" t="s">
        <v>131</v>
      </c>
      <c r="D9" s="109">
        <v>-49.381347685025794</v>
      </c>
      <c r="E9" s="109">
        <v>-20.812636500000004</v>
      </c>
      <c r="F9" s="18">
        <v>2007</v>
      </c>
      <c r="G9" s="19" t="s">
        <v>90</v>
      </c>
      <c r="H9" s="18" t="s">
        <v>177</v>
      </c>
      <c r="I9" s="17" t="s">
        <v>91</v>
      </c>
      <c r="J9" s="18" t="s">
        <v>81</v>
      </c>
      <c r="K9" s="158">
        <v>3000</v>
      </c>
      <c r="L9" s="18">
        <v>1.2E-2</v>
      </c>
      <c r="M9" s="18" t="s">
        <v>80</v>
      </c>
      <c r="N9" s="18" t="s">
        <v>88</v>
      </c>
      <c r="O9" s="10">
        <v>76.42</v>
      </c>
      <c r="P9" s="3">
        <v>1.9999999999999983E-3</v>
      </c>
      <c r="Q9" s="4">
        <v>1.0999999999999999E-2</v>
      </c>
      <c r="R9" s="4">
        <v>2.5999999999999999E-2</v>
      </c>
      <c r="S9" s="4">
        <v>3.5999999999999997E-2</v>
      </c>
      <c r="T9" s="158"/>
    </row>
    <row r="10" spans="1:20" ht="14.25" customHeight="1">
      <c r="A10" s="270" t="s">
        <v>94</v>
      </c>
      <c r="B10" s="17" t="s">
        <v>89</v>
      </c>
      <c r="C10" s="158" t="s">
        <v>113</v>
      </c>
      <c r="D10" s="109">
        <v>-36.551091902005247</v>
      </c>
      <c r="E10" s="109">
        <v>-9.9316573889236714</v>
      </c>
      <c r="F10" s="18">
        <v>2007</v>
      </c>
      <c r="G10" s="19" t="s">
        <v>90</v>
      </c>
      <c r="H10" s="18" t="s">
        <v>177</v>
      </c>
      <c r="I10" s="17" t="s">
        <v>91</v>
      </c>
      <c r="J10" s="18" t="s">
        <v>81</v>
      </c>
      <c r="K10" s="158">
        <v>1800</v>
      </c>
      <c r="L10" s="18">
        <v>1.2E-2</v>
      </c>
      <c r="M10" s="18" t="s">
        <v>80</v>
      </c>
      <c r="N10" s="18" t="s">
        <v>88</v>
      </c>
      <c r="O10" s="10">
        <v>60.066666666666663</v>
      </c>
      <c r="P10" s="3">
        <v>2.0000000000000018E-3</v>
      </c>
      <c r="Q10" s="4">
        <v>1.2E-2</v>
      </c>
      <c r="R10" s="4">
        <v>0.02</v>
      </c>
      <c r="S10" s="4">
        <v>2.4E-2</v>
      </c>
      <c r="T10" s="158"/>
    </row>
    <row r="11" spans="1:20" ht="14.25" customHeight="1">
      <c r="A11" s="270" t="s">
        <v>94</v>
      </c>
      <c r="B11" s="17" t="s">
        <v>89</v>
      </c>
      <c r="C11" s="158" t="s">
        <v>114</v>
      </c>
      <c r="D11" s="109">
        <v>-47.457853253204043</v>
      </c>
      <c r="E11" s="109">
        <v>-23.499323</v>
      </c>
      <c r="F11" s="18">
        <v>2007</v>
      </c>
      <c r="G11" s="19" t="s">
        <v>90</v>
      </c>
      <c r="H11" s="18" t="s">
        <v>177</v>
      </c>
      <c r="I11" s="17" t="s">
        <v>91</v>
      </c>
      <c r="J11" s="18" t="s">
        <v>81</v>
      </c>
      <c r="K11" s="158">
        <v>1200</v>
      </c>
      <c r="L11" s="18">
        <v>1.2E-2</v>
      </c>
      <c r="M11" s="18" t="s">
        <v>80</v>
      </c>
      <c r="N11" s="18" t="s">
        <v>88</v>
      </c>
      <c r="O11" s="10">
        <v>79.5</v>
      </c>
      <c r="P11" s="3">
        <v>1.9999999999999983E-3</v>
      </c>
      <c r="Q11" s="4">
        <v>0.01</v>
      </c>
      <c r="R11" s="4">
        <v>1.9E-2</v>
      </c>
      <c r="S11" s="4">
        <v>2.4E-2</v>
      </c>
      <c r="T11" s="158"/>
    </row>
    <row r="12" spans="1:20" ht="14.25" customHeight="1">
      <c r="A12" s="270" t="s">
        <v>94</v>
      </c>
      <c r="B12" s="17" t="s">
        <v>89</v>
      </c>
      <c r="C12" s="158" t="s">
        <v>141</v>
      </c>
      <c r="D12" s="109">
        <v>-47.887905478031342</v>
      </c>
      <c r="E12" s="109">
        <v>-15.794087361891002</v>
      </c>
      <c r="F12" s="18">
        <v>2007</v>
      </c>
      <c r="G12" s="19" t="s">
        <v>90</v>
      </c>
      <c r="H12" s="18" t="s">
        <v>177</v>
      </c>
      <c r="I12" s="17" t="s">
        <v>91</v>
      </c>
      <c r="J12" s="18" t="s">
        <v>81</v>
      </c>
      <c r="K12" s="158">
        <v>1500</v>
      </c>
      <c r="L12" s="18">
        <v>1.2E-2</v>
      </c>
      <c r="M12" s="18" t="s">
        <v>80</v>
      </c>
      <c r="N12" s="18" t="s">
        <v>88</v>
      </c>
      <c r="O12" s="10">
        <v>79.960000000000008</v>
      </c>
      <c r="P12" s="3">
        <v>0</v>
      </c>
      <c r="Q12" s="4">
        <v>9.4999999999999998E-3</v>
      </c>
      <c r="R12" s="4">
        <v>1.6E-2</v>
      </c>
      <c r="S12" s="4">
        <v>2.1000000000000001E-2</v>
      </c>
      <c r="T12" s="158"/>
    </row>
    <row r="13" spans="1:20" ht="14.25" customHeight="1">
      <c r="A13" s="270" t="s">
        <v>94</v>
      </c>
      <c r="B13" s="17" t="s">
        <v>89</v>
      </c>
      <c r="C13" s="158" t="s">
        <v>142</v>
      </c>
      <c r="D13" s="109">
        <v>-67.810528700423504</v>
      </c>
      <c r="E13" s="109">
        <v>-9.9782987527249833</v>
      </c>
      <c r="F13" s="18">
        <v>2007</v>
      </c>
      <c r="G13" s="19" t="s">
        <v>90</v>
      </c>
      <c r="H13" s="18" t="s">
        <v>177</v>
      </c>
      <c r="I13" s="17" t="s">
        <v>91</v>
      </c>
      <c r="J13" s="18" t="s">
        <v>81</v>
      </c>
      <c r="K13" s="158">
        <v>1200</v>
      </c>
      <c r="L13" s="18">
        <v>1.2E-2</v>
      </c>
      <c r="M13" s="18" t="s">
        <v>80</v>
      </c>
      <c r="N13" s="18" t="s">
        <v>88</v>
      </c>
      <c r="O13" s="10">
        <v>61.599999999999994</v>
      </c>
      <c r="P13" s="3">
        <v>2.9999999999999992E-3</v>
      </c>
      <c r="Q13" s="4">
        <v>1.4E-2</v>
      </c>
      <c r="R13" s="4">
        <v>2.8000000000000001E-2</v>
      </c>
      <c r="S13" s="4">
        <v>3.6999999999999998E-2</v>
      </c>
      <c r="T13" s="158"/>
    </row>
    <row r="14" spans="1:20" ht="14.25" customHeight="1">
      <c r="A14" s="270" t="s">
        <v>94</v>
      </c>
      <c r="B14" s="17" t="s">
        <v>89</v>
      </c>
      <c r="C14" s="158" t="s">
        <v>145</v>
      </c>
      <c r="D14" s="158" t="s">
        <v>15</v>
      </c>
      <c r="E14" s="18">
        <v>-15.521407</v>
      </c>
      <c r="F14" s="18">
        <v>2007</v>
      </c>
      <c r="G14" s="19" t="s">
        <v>90</v>
      </c>
      <c r="H14" s="18" t="s">
        <v>177</v>
      </c>
      <c r="I14" s="17" t="s">
        <v>91</v>
      </c>
      <c r="J14" s="18" t="s">
        <v>81</v>
      </c>
      <c r="K14" s="158">
        <v>1500</v>
      </c>
      <c r="L14" s="18">
        <v>1.2E-2</v>
      </c>
      <c r="M14" s="18" t="s">
        <v>80</v>
      </c>
      <c r="N14" s="18" t="s">
        <v>88</v>
      </c>
      <c r="O14" s="10">
        <v>91.12</v>
      </c>
      <c r="P14" s="3">
        <v>9.9999999999999742E-4</v>
      </c>
      <c r="Q14" s="4">
        <v>9.1000000000000004E-3</v>
      </c>
      <c r="R14" s="4">
        <v>1.7999999999999999E-2</v>
      </c>
      <c r="S14" s="4">
        <v>2.4E-2</v>
      </c>
      <c r="T14" s="94"/>
    </row>
    <row r="15" spans="1:20" ht="14.25" customHeight="1">
      <c r="A15" s="270" t="s">
        <v>94</v>
      </c>
      <c r="B15" s="17" t="s">
        <v>89</v>
      </c>
      <c r="C15" s="158" t="s">
        <v>151</v>
      </c>
      <c r="D15" s="92">
        <v>-47.9</v>
      </c>
      <c r="E15" s="92">
        <v>-15.8</v>
      </c>
      <c r="F15" s="18">
        <v>2007</v>
      </c>
      <c r="G15" s="19" t="s">
        <v>90</v>
      </c>
      <c r="H15" s="18" t="s">
        <v>177</v>
      </c>
      <c r="I15" s="17" t="s">
        <v>91</v>
      </c>
      <c r="J15" s="18" t="s">
        <v>81</v>
      </c>
      <c r="K15" s="158">
        <v>1500</v>
      </c>
      <c r="L15" s="18">
        <v>1.2E-2</v>
      </c>
      <c r="M15" s="18" t="s">
        <v>80</v>
      </c>
      <c r="N15" s="18" t="s">
        <v>88</v>
      </c>
      <c r="O15" s="10">
        <v>94.78</v>
      </c>
      <c r="P15" s="3">
        <v>1.0000000000000009E-3</v>
      </c>
      <c r="Q15" s="4">
        <v>8.0999999999999996E-3</v>
      </c>
      <c r="R15" s="4">
        <v>1.6E-2</v>
      </c>
      <c r="S15" s="4">
        <v>2.1999999999999999E-2</v>
      </c>
      <c r="T15" s="94"/>
    </row>
    <row r="16" spans="1:20" ht="14.25" customHeight="1" thickBot="1">
      <c r="A16" s="11" t="s">
        <v>94</v>
      </c>
      <c r="B16" s="21" t="s">
        <v>89</v>
      </c>
      <c r="C16" s="11" t="s">
        <v>143</v>
      </c>
      <c r="D16" s="110">
        <v>-40.791594846362379</v>
      </c>
      <c r="E16" s="110">
        <v>-9.4708066384999352</v>
      </c>
      <c r="F16" s="21">
        <v>2007</v>
      </c>
      <c r="G16" s="22" t="s">
        <v>90</v>
      </c>
      <c r="H16" s="21" t="s">
        <v>177</v>
      </c>
      <c r="I16" s="21" t="s">
        <v>91</v>
      </c>
      <c r="J16" s="21" t="s">
        <v>81</v>
      </c>
      <c r="K16" s="11">
        <v>1200</v>
      </c>
      <c r="L16" s="21">
        <v>1.2E-2</v>
      </c>
      <c r="M16" s="21" t="s">
        <v>80</v>
      </c>
      <c r="N16" s="21" t="s">
        <v>88</v>
      </c>
      <c r="O16" s="30">
        <v>95.125</v>
      </c>
      <c r="P16" s="13">
        <v>1.0000000000000009E-3</v>
      </c>
      <c r="Q16" s="29">
        <v>8.6999999999999994E-3</v>
      </c>
      <c r="R16" s="29">
        <v>1.6E-2</v>
      </c>
      <c r="S16" s="29">
        <v>2.1000000000000001E-2</v>
      </c>
      <c r="T16" s="158"/>
    </row>
    <row r="17" spans="1:21" ht="14.25" customHeight="1">
      <c r="A17" s="270" t="s">
        <v>94</v>
      </c>
      <c r="B17" s="17" t="s">
        <v>89</v>
      </c>
      <c r="C17" s="9" t="s">
        <v>124</v>
      </c>
      <c r="D17" s="261"/>
      <c r="E17" s="262"/>
      <c r="F17" s="18">
        <v>2007</v>
      </c>
      <c r="G17" s="19" t="s">
        <v>90</v>
      </c>
      <c r="H17" s="18" t="s">
        <v>177</v>
      </c>
      <c r="I17" s="17" t="s">
        <v>91</v>
      </c>
      <c r="J17" s="158" t="s">
        <v>92</v>
      </c>
      <c r="K17" s="18">
        <v>1200</v>
      </c>
      <c r="L17" s="158">
        <v>0.01</v>
      </c>
      <c r="M17" s="18" t="s">
        <v>80</v>
      </c>
      <c r="N17" s="18" t="s">
        <v>88</v>
      </c>
      <c r="O17" s="51">
        <v>100</v>
      </c>
      <c r="P17" s="23">
        <v>2.9999999999999992E-4</v>
      </c>
      <c r="Q17" s="4">
        <v>2.0999999999999999E-3</v>
      </c>
      <c r="R17" s="4">
        <v>3.3999999999999998E-3</v>
      </c>
      <c r="S17" s="4">
        <v>4.1000000000000003E-3</v>
      </c>
      <c r="T17" s="9"/>
    </row>
    <row r="18" spans="1:21" ht="14.25" customHeight="1">
      <c r="A18" s="270" t="s">
        <v>94</v>
      </c>
      <c r="B18" s="17" t="s">
        <v>89</v>
      </c>
      <c r="C18" s="158" t="s">
        <v>100</v>
      </c>
      <c r="D18" s="109">
        <v>-50.439226072752582</v>
      </c>
      <c r="E18" s="109">
        <v>-21.205476000000004</v>
      </c>
      <c r="F18" s="18">
        <v>2007</v>
      </c>
      <c r="G18" s="19" t="s">
        <v>90</v>
      </c>
      <c r="H18" s="18" t="s">
        <v>177</v>
      </c>
      <c r="I18" s="17" t="s">
        <v>91</v>
      </c>
      <c r="J18" s="158" t="s">
        <v>92</v>
      </c>
      <c r="K18" s="158">
        <v>1500</v>
      </c>
      <c r="L18" s="158">
        <v>0.01</v>
      </c>
      <c r="M18" s="18" t="s">
        <v>80</v>
      </c>
      <c r="N18" s="17" t="s">
        <v>88</v>
      </c>
      <c r="O18" s="24">
        <v>92.74</v>
      </c>
      <c r="P18" s="23">
        <v>9.9999999999999915E-4</v>
      </c>
      <c r="Q18" s="4">
        <v>5.8999999999999999E-3</v>
      </c>
      <c r="R18" s="4">
        <v>1.0999999999999999E-2</v>
      </c>
      <c r="S18" s="4">
        <v>1.4E-2</v>
      </c>
      <c r="T18" s="158"/>
    </row>
    <row r="19" spans="1:21" ht="14.25" customHeight="1">
      <c r="A19" s="270" t="s">
        <v>94</v>
      </c>
      <c r="B19" s="17" t="s">
        <v>89</v>
      </c>
      <c r="C19" s="158" t="s">
        <v>104</v>
      </c>
      <c r="D19" s="109">
        <v>-48.441289384350434</v>
      </c>
      <c r="E19" s="109">
        <v>-22.888381500000008</v>
      </c>
      <c r="F19" s="18">
        <v>2007</v>
      </c>
      <c r="G19" s="19" t="s">
        <v>90</v>
      </c>
      <c r="H19" s="18" t="s">
        <v>177</v>
      </c>
      <c r="I19" s="17" t="s">
        <v>91</v>
      </c>
      <c r="J19" s="158" t="s">
        <v>92</v>
      </c>
      <c r="K19" s="158">
        <v>1200</v>
      </c>
      <c r="L19" s="158">
        <v>0.01</v>
      </c>
      <c r="M19" s="18" t="s">
        <v>80</v>
      </c>
      <c r="N19" s="17" t="s">
        <v>88</v>
      </c>
      <c r="O19" s="24">
        <v>98.3</v>
      </c>
      <c r="P19" s="23">
        <v>4.0000000000000018E-4</v>
      </c>
      <c r="Q19" s="4">
        <v>3.8999999999999998E-3</v>
      </c>
      <c r="R19" s="4">
        <v>7.3000000000000001E-3</v>
      </c>
      <c r="S19" s="4">
        <v>9.4000000000000004E-3</v>
      </c>
      <c r="T19" s="158"/>
    </row>
    <row r="20" spans="1:21" ht="14.25" customHeight="1">
      <c r="A20" s="270" t="s">
        <v>94</v>
      </c>
      <c r="B20" s="17" t="s">
        <v>89</v>
      </c>
      <c r="C20" s="158" t="s">
        <v>107</v>
      </c>
      <c r="D20" s="109">
        <v>-49.951645643103269</v>
      </c>
      <c r="E20" s="109">
        <v>-22.214933000000002</v>
      </c>
      <c r="F20" s="18">
        <v>2007</v>
      </c>
      <c r="G20" s="19" t="s">
        <v>90</v>
      </c>
      <c r="H20" s="18" t="s">
        <v>177</v>
      </c>
      <c r="I20" s="17" t="s">
        <v>91</v>
      </c>
      <c r="J20" s="158" t="s">
        <v>92</v>
      </c>
      <c r="K20" s="158">
        <v>1200</v>
      </c>
      <c r="L20" s="158">
        <v>0.01</v>
      </c>
      <c r="M20" s="18" t="s">
        <v>80</v>
      </c>
      <c r="N20" s="17" t="s">
        <v>88</v>
      </c>
      <c r="O20" s="24">
        <v>98.649999999999991</v>
      </c>
      <c r="P20" s="23">
        <v>4.0000000000000018E-4</v>
      </c>
      <c r="Q20" s="4">
        <v>3.8999999999999998E-3</v>
      </c>
      <c r="R20" s="4">
        <v>7.0000000000000001E-3</v>
      </c>
      <c r="S20" s="4">
        <v>8.8999999999999999E-3</v>
      </c>
      <c r="T20" s="158"/>
    </row>
    <row r="21" spans="1:21" ht="14.25" customHeight="1">
      <c r="A21" s="270" t="s">
        <v>94</v>
      </c>
      <c r="B21" s="17" t="s">
        <v>89</v>
      </c>
      <c r="C21" s="158" t="s">
        <v>108</v>
      </c>
      <c r="D21" s="109">
        <v>-51.386765581912492</v>
      </c>
      <c r="E21" s="109">
        <v>-22.122743500000002</v>
      </c>
      <c r="F21" s="18">
        <v>2007</v>
      </c>
      <c r="G21" s="19" t="s">
        <v>90</v>
      </c>
      <c r="H21" s="18" t="s">
        <v>177</v>
      </c>
      <c r="I21" s="17" t="s">
        <v>91</v>
      </c>
      <c r="J21" s="158" t="s">
        <v>92</v>
      </c>
      <c r="K21" s="158">
        <v>1200</v>
      </c>
      <c r="L21" s="158">
        <v>0.01</v>
      </c>
      <c r="M21" s="18" t="s">
        <v>80</v>
      </c>
      <c r="N21" s="17" t="s">
        <v>88</v>
      </c>
      <c r="O21" s="24">
        <v>97.9</v>
      </c>
      <c r="P21" s="23">
        <v>1E-3</v>
      </c>
      <c r="Q21" s="4">
        <v>5.5999999999999999E-3</v>
      </c>
      <c r="R21" s="4">
        <v>8.3000000000000001E-3</v>
      </c>
      <c r="S21" s="4">
        <v>9.7999999999999997E-3</v>
      </c>
      <c r="T21" s="158"/>
    </row>
    <row r="22" spans="1:21" ht="14.25" customHeight="1">
      <c r="A22" s="270" t="s">
        <v>94</v>
      </c>
      <c r="B22" s="17" t="s">
        <v>89</v>
      </c>
      <c r="C22" s="158" t="s">
        <v>109</v>
      </c>
      <c r="D22" s="109">
        <v>-47.805475915541528</v>
      </c>
      <c r="E22" s="109">
        <v>-21.184834500000004</v>
      </c>
      <c r="F22" s="18">
        <v>2007</v>
      </c>
      <c r="G22" s="19" t="s">
        <v>90</v>
      </c>
      <c r="H22" s="18" t="s">
        <v>177</v>
      </c>
      <c r="I22" s="17" t="s">
        <v>91</v>
      </c>
      <c r="J22" s="158" t="s">
        <v>92</v>
      </c>
      <c r="K22" s="158">
        <v>1200</v>
      </c>
      <c r="L22" s="158">
        <v>0.01</v>
      </c>
      <c r="M22" s="18" t="s">
        <v>80</v>
      </c>
      <c r="N22" s="17" t="s">
        <v>88</v>
      </c>
      <c r="O22" s="24">
        <v>93</v>
      </c>
      <c r="P22" s="23">
        <v>9.9999999999999915E-4</v>
      </c>
      <c r="Q22" s="4">
        <v>5.7000000000000002E-3</v>
      </c>
      <c r="R22" s="4">
        <v>1.0999999999999999E-2</v>
      </c>
      <c r="S22" s="4">
        <v>1.4E-2</v>
      </c>
      <c r="T22" s="158"/>
    </row>
    <row r="23" spans="1:21" ht="14.25" customHeight="1">
      <c r="A23" s="270" t="s">
        <v>94</v>
      </c>
      <c r="B23" s="17" t="s">
        <v>89</v>
      </c>
      <c r="C23" s="158" t="s">
        <v>110</v>
      </c>
      <c r="D23" s="109">
        <v>-46.331370849190684</v>
      </c>
      <c r="E23" s="109">
        <v>-23.933737500000003</v>
      </c>
      <c r="F23" s="18">
        <v>2007</v>
      </c>
      <c r="G23" s="19" t="s">
        <v>90</v>
      </c>
      <c r="H23" s="18" t="s">
        <v>177</v>
      </c>
      <c r="I23" s="17" t="s">
        <v>91</v>
      </c>
      <c r="J23" s="158" t="s">
        <v>92</v>
      </c>
      <c r="K23" s="158">
        <v>1200</v>
      </c>
      <c r="L23" s="158">
        <v>0.01</v>
      </c>
      <c r="M23" s="18" t="s">
        <v>80</v>
      </c>
      <c r="N23" s="17" t="s">
        <v>88</v>
      </c>
      <c r="O23" s="24">
        <v>96.302513164875435</v>
      </c>
      <c r="P23" s="23">
        <v>8.9999999999999976E-4</v>
      </c>
      <c r="Q23" s="4">
        <v>5.1999999999999998E-3</v>
      </c>
      <c r="R23" s="4">
        <v>9.4999999999999998E-3</v>
      </c>
      <c r="S23" s="4">
        <v>1.2E-2</v>
      </c>
      <c r="T23" s="158"/>
    </row>
    <row r="24" spans="1:21" ht="14.25" customHeight="1">
      <c r="A24" s="270" t="s">
        <v>94</v>
      </c>
      <c r="B24" s="17" t="s">
        <v>89</v>
      </c>
      <c r="C24" s="158" t="s">
        <v>131</v>
      </c>
      <c r="D24" s="109">
        <v>-49.381347685025794</v>
      </c>
      <c r="E24" s="109">
        <v>-20.812636500000004</v>
      </c>
      <c r="F24" s="18">
        <v>2007</v>
      </c>
      <c r="G24" s="19" t="s">
        <v>90</v>
      </c>
      <c r="H24" s="18" t="s">
        <v>177</v>
      </c>
      <c r="I24" s="17" t="s">
        <v>91</v>
      </c>
      <c r="J24" s="158" t="s">
        <v>92</v>
      </c>
      <c r="K24" s="158">
        <v>1500</v>
      </c>
      <c r="L24" s="158">
        <v>0.01</v>
      </c>
      <c r="M24" s="18" t="s">
        <v>80</v>
      </c>
      <c r="N24" s="17" t="s">
        <v>88</v>
      </c>
      <c r="O24" s="24">
        <v>95.616969976838433</v>
      </c>
      <c r="P24" s="23">
        <v>5.0000000000000044E-4</v>
      </c>
      <c r="Q24" s="4">
        <v>6.0000000000000001E-3</v>
      </c>
      <c r="R24" s="4">
        <v>9.7999999999999997E-3</v>
      </c>
      <c r="S24" s="4">
        <v>1.2E-2</v>
      </c>
      <c r="T24" s="158"/>
    </row>
    <row r="25" spans="1:21" ht="14.25" customHeight="1">
      <c r="A25" s="270" t="s">
        <v>94</v>
      </c>
      <c r="B25" s="17" t="s">
        <v>89</v>
      </c>
      <c r="C25" s="158" t="s">
        <v>113</v>
      </c>
      <c r="D25" s="109">
        <v>-36.551091902005247</v>
      </c>
      <c r="E25" s="109">
        <v>-9.9316573889236714</v>
      </c>
      <c r="F25" s="18">
        <v>2007</v>
      </c>
      <c r="G25" s="19" t="s">
        <v>90</v>
      </c>
      <c r="H25" s="17" t="s">
        <v>177</v>
      </c>
      <c r="I25" s="17" t="s">
        <v>91</v>
      </c>
      <c r="J25" s="158" t="s">
        <v>92</v>
      </c>
      <c r="K25" s="158">
        <v>1500</v>
      </c>
      <c r="L25" s="158">
        <v>0.01</v>
      </c>
      <c r="M25" s="18" t="s">
        <v>80</v>
      </c>
      <c r="N25" s="17" t="s">
        <v>88</v>
      </c>
      <c r="O25" s="24">
        <v>96.8</v>
      </c>
      <c r="P25" s="23">
        <v>6.9999999999999923E-4</v>
      </c>
      <c r="Q25" s="4">
        <v>5.7000000000000002E-3</v>
      </c>
      <c r="R25" s="4">
        <v>9.5999999999999992E-3</v>
      </c>
      <c r="S25" s="4">
        <v>1.2E-2</v>
      </c>
      <c r="T25" s="158"/>
    </row>
    <row r="26" spans="1:21" ht="14.25" customHeight="1">
      <c r="A26" s="270" t="s">
        <v>94</v>
      </c>
      <c r="B26" s="17" t="s">
        <v>89</v>
      </c>
      <c r="C26" s="158" t="s">
        <v>114</v>
      </c>
      <c r="D26" s="109">
        <v>-47.457853253204043</v>
      </c>
      <c r="E26" s="109">
        <v>-23.499323</v>
      </c>
      <c r="F26" s="18">
        <v>2007</v>
      </c>
      <c r="G26" s="19" t="s">
        <v>90</v>
      </c>
      <c r="H26" s="18" t="s">
        <v>177</v>
      </c>
      <c r="I26" s="17" t="s">
        <v>91</v>
      </c>
      <c r="J26" s="158" t="s">
        <v>92</v>
      </c>
      <c r="K26" s="158">
        <v>1800</v>
      </c>
      <c r="L26" s="158">
        <v>0.01</v>
      </c>
      <c r="M26" s="18" t="s">
        <v>80</v>
      </c>
      <c r="N26" s="17" t="s">
        <v>88</v>
      </c>
      <c r="O26" s="24">
        <v>94.4</v>
      </c>
      <c r="P26" s="23">
        <v>4.0000000000000105E-4</v>
      </c>
      <c r="Q26" s="4">
        <v>5.4999999999999997E-3</v>
      </c>
      <c r="R26" s="4">
        <v>0.01</v>
      </c>
      <c r="S26" s="4">
        <v>1.2999999999999999E-2</v>
      </c>
      <c r="T26" s="158"/>
    </row>
    <row r="27" spans="1:21" ht="14.25" customHeight="1">
      <c r="A27" s="270" t="s">
        <v>94</v>
      </c>
      <c r="B27" s="17" t="s">
        <v>89</v>
      </c>
      <c r="C27" s="158" t="s">
        <v>141</v>
      </c>
      <c r="D27" s="109">
        <v>-47.887905478031342</v>
      </c>
      <c r="E27" s="109">
        <v>-15.794087361891002</v>
      </c>
      <c r="F27" s="18">
        <v>2007</v>
      </c>
      <c r="G27" s="19" t="s">
        <v>90</v>
      </c>
      <c r="H27" s="18" t="s">
        <v>177</v>
      </c>
      <c r="I27" s="17" t="s">
        <v>91</v>
      </c>
      <c r="J27" s="158" t="s">
        <v>92</v>
      </c>
      <c r="K27" s="158">
        <v>1200</v>
      </c>
      <c r="L27" s="158">
        <v>0.01</v>
      </c>
      <c r="M27" s="18" t="s">
        <v>80</v>
      </c>
      <c r="N27" s="17" t="s">
        <v>88</v>
      </c>
      <c r="O27" s="24">
        <v>96.8</v>
      </c>
      <c r="P27" s="23">
        <v>5.9999999999999984E-4</v>
      </c>
      <c r="Q27" s="4">
        <v>5.4000000000000003E-3</v>
      </c>
      <c r="R27" s="4">
        <v>9.2999999999999992E-3</v>
      </c>
      <c r="S27" s="4">
        <v>1.2E-2</v>
      </c>
      <c r="T27" s="158"/>
      <c r="U27" s="165"/>
    </row>
    <row r="28" spans="1:21" ht="14.25" customHeight="1">
      <c r="A28" s="270" t="s">
        <v>94</v>
      </c>
      <c r="B28" s="17" t="s">
        <v>89</v>
      </c>
      <c r="C28" s="158" t="s">
        <v>142</v>
      </c>
      <c r="D28" s="109">
        <v>-67.810528700423504</v>
      </c>
      <c r="E28" s="109">
        <v>-9.9782987527249833</v>
      </c>
      <c r="F28" s="18">
        <v>2007</v>
      </c>
      <c r="G28" s="19" t="s">
        <v>90</v>
      </c>
      <c r="H28" s="17" t="s">
        <v>177</v>
      </c>
      <c r="I28" s="17" t="s">
        <v>91</v>
      </c>
      <c r="J28" s="158" t="s">
        <v>92</v>
      </c>
      <c r="K28" s="158">
        <v>1200</v>
      </c>
      <c r="L28" s="158">
        <v>0.01</v>
      </c>
      <c r="M28" s="18" t="s">
        <v>80</v>
      </c>
      <c r="N28" s="17" t="s">
        <v>88</v>
      </c>
      <c r="O28" s="24">
        <v>99.224999999999994</v>
      </c>
      <c r="P28" s="23">
        <v>4.0000000000000018E-4</v>
      </c>
      <c r="Q28" s="4">
        <v>4.5999999999999999E-3</v>
      </c>
      <c r="R28" s="4">
        <v>8.0000000000000002E-3</v>
      </c>
      <c r="S28" s="4">
        <v>9.9000000000000008E-3</v>
      </c>
      <c r="T28" s="158"/>
      <c r="U28" s="27"/>
    </row>
    <row r="29" spans="1:21" ht="14.25" customHeight="1">
      <c r="A29" s="270" t="s">
        <v>94</v>
      </c>
      <c r="B29" s="17" t="s">
        <v>89</v>
      </c>
      <c r="C29" s="158" t="s">
        <v>145</v>
      </c>
      <c r="D29" s="158" t="s">
        <v>15</v>
      </c>
      <c r="E29" s="18">
        <v>-15.521407</v>
      </c>
      <c r="F29" s="18">
        <v>2007</v>
      </c>
      <c r="G29" s="19" t="s">
        <v>90</v>
      </c>
      <c r="H29" s="17" t="s">
        <v>177</v>
      </c>
      <c r="I29" s="17" t="s">
        <v>91</v>
      </c>
      <c r="J29" s="158" t="s">
        <v>92</v>
      </c>
      <c r="K29" s="158">
        <v>1500</v>
      </c>
      <c r="L29" s="158">
        <v>0.01</v>
      </c>
      <c r="M29" s="18" t="s">
        <v>80</v>
      </c>
      <c r="N29" s="17" t="s">
        <v>88</v>
      </c>
      <c r="O29" s="24">
        <v>98.4</v>
      </c>
      <c r="P29" s="23">
        <v>4.0000000000000105E-4</v>
      </c>
      <c r="Q29" s="4">
        <v>4.3E-3</v>
      </c>
      <c r="R29" s="4">
        <v>7.9000000000000008E-3</v>
      </c>
      <c r="S29" s="4">
        <v>1.01E-2</v>
      </c>
      <c r="T29" s="158"/>
      <c r="U29" s="27"/>
    </row>
    <row r="30" spans="1:21" ht="14.25" customHeight="1">
      <c r="A30" s="270" t="s">
        <v>94</v>
      </c>
      <c r="B30" s="17" t="s">
        <v>89</v>
      </c>
      <c r="C30" s="158" t="s">
        <v>151</v>
      </c>
      <c r="D30" s="92">
        <v>-47.9</v>
      </c>
      <c r="E30" s="92">
        <v>-15.8</v>
      </c>
      <c r="F30" s="18">
        <v>2007</v>
      </c>
      <c r="G30" s="19" t="s">
        <v>90</v>
      </c>
      <c r="H30" s="18" t="s">
        <v>177</v>
      </c>
      <c r="I30" s="17" t="s">
        <v>91</v>
      </c>
      <c r="J30" s="158" t="s">
        <v>92</v>
      </c>
      <c r="K30" s="158">
        <v>1200</v>
      </c>
      <c r="L30" s="158">
        <v>0.01</v>
      </c>
      <c r="M30" s="18" t="s">
        <v>80</v>
      </c>
      <c r="N30" s="17" t="s">
        <v>88</v>
      </c>
      <c r="O30" s="24">
        <v>99.75</v>
      </c>
      <c r="P30" s="23">
        <v>3.9999999999999931E-4</v>
      </c>
      <c r="Q30" s="4">
        <v>4.7999999999999996E-3</v>
      </c>
      <c r="R30" s="4">
        <v>7.7999999999999996E-3</v>
      </c>
      <c r="S30" s="4">
        <v>9.5999999999999992E-3</v>
      </c>
      <c r="T30" s="158"/>
      <c r="U30" s="23"/>
    </row>
    <row r="31" spans="1:21" ht="14.25" customHeight="1" thickBot="1">
      <c r="A31" s="11" t="s">
        <v>94</v>
      </c>
      <c r="B31" s="21" t="s">
        <v>89</v>
      </c>
      <c r="C31" s="11" t="s">
        <v>143</v>
      </c>
      <c r="D31" s="110">
        <v>-40.791594846362379</v>
      </c>
      <c r="E31" s="110">
        <v>-9.4708066384999352</v>
      </c>
      <c r="F31" s="21">
        <v>2007</v>
      </c>
      <c r="G31" s="22" t="s">
        <v>90</v>
      </c>
      <c r="H31" s="21" t="s">
        <v>177</v>
      </c>
      <c r="I31" s="21" t="s">
        <v>91</v>
      </c>
      <c r="J31" s="11" t="s">
        <v>92</v>
      </c>
      <c r="K31" s="11">
        <v>1200</v>
      </c>
      <c r="L31" s="11">
        <v>0.01</v>
      </c>
      <c r="M31" s="21" t="s">
        <v>80</v>
      </c>
      <c r="N31" s="21" t="s">
        <v>88</v>
      </c>
      <c r="O31" s="25">
        <v>99.35</v>
      </c>
      <c r="P31" s="29">
        <v>4.9999999999999958E-4</v>
      </c>
      <c r="Q31" s="29">
        <v>3.8E-3</v>
      </c>
      <c r="R31" s="29">
        <v>7.6E-3</v>
      </c>
      <c r="S31" s="29">
        <v>0.01</v>
      </c>
      <c r="T31" s="158"/>
    </row>
    <row r="32" spans="1:21" ht="14.25" customHeight="1">
      <c r="A32" s="270" t="s">
        <v>94</v>
      </c>
      <c r="B32" s="17" t="s">
        <v>89</v>
      </c>
      <c r="C32" s="9" t="s">
        <v>124</v>
      </c>
      <c r="D32" s="261"/>
      <c r="E32" s="262"/>
      <c r="F32" s="18">
        <v>2007</v>
      </c>
      <c r="G32" s="19" t="s">
        <v>90</v>
      </c>
      <c r="H32" s="17" t="s">
        <v>177</v>
      </c>
      <c r="I32" s="17" t="s">
        <v>91</v>
      </c>
      <c r="J32" s="158" t="s">
        <v>93</v>
      </c>
      <c r="K32" s="158">
        <v>1200</v>
      </c>
      <c r="L32" s="158">
        <v>0.2</v>
      </c>
      <c r="M32" s="18" t="s">
        <v>80</v>
      </c>
      <c r="N32" s="17" t="s">
        <v>88</v>
      </c>
      <c r="O32" s="76">
        <v>100</v>
      </c>
      <c r="P32" s="23">
        <v>1.2999999999999998E-2</v>
      </c>
      <c r="Q32" s="3">
        <v>2.9000000000000001E-2</v>
      </c>
      <c r="R32" s="3">
        <v>8.3000000000000004E-2</v>
      </c>
      <c r="S32" s="3">
        <v>0.13</v>
      </c>
      <c r="T32" s="9"/>
    </row>
    <row r="33" spans="1:21" ht="14.25" customHeight="1">
      <c r="A33" s="270" t="s">
        <v>94</v>
      </c>
      <c r="B33" s="17" t="s">
        <v>89</v>
      </c>
      <c r="C33" s="158" t="s">
        <v>100</v>
      </c>
      <c r="D33" s="109">
        <v>-50.439226072752582</v>
      </c>
      <c r="E33" s="109">
        <v>-21.205476000000004</v>
      </c>
      <c r="F33" s="18">
        <v>2007</v>
      </c>
      <c r="G33" s="19" t="s">
        <v>90</v>
      </c>
      <c r="H33" s="17" t="s">
        <v>177</v>
      </c>
      <c r="I33" s="17" t="s">
        <v>91</v>
      </c>
      <c r="J33" s="158" t="s">
        <v>93</v>
      </c>
      <c r="K33" s="17">
        <v>1500</v>
      </c>
      <c r="L33" s="158">
        <v>0.2</v>
      </c>
      <c r="M33" s="18" t="s">
        <v>80</v>
      </c>
      <c r="N33" s="17" t="s">
        <v>88</v>
      </c>
      <c r="O33" s="10">
        <f>(83+93.2+99+93+90)/5</f>
        <v>91.64</v>
      </c>
      <c r="P33" s="23">
        <v>2.0000000000000018E-2</v>
      </c>
      <c r="Q33" s="3">
        <v>0.1</v>
      </c>
      <c r="R33" s="3">
        <v>0.23</v>
      </c>
      <c r="S33" s="3">
        <v>0.32</v>
      </c>
      <c r="T33" s="158"/>
    </row>
    <row r="34" spans="1:21" ht="14.25" customHeight="1">
      <c r="A34" s="270" t="s">
        <v>94</v>
      </c>
      <c r="B34" s="17" t="s">
        <v>89</v>
      </c>
      <c r="C34" s="158" t="s">
        <v>104</v>
      </c>
      <c r="D34" s="109">
        <v>-48.441289384350434</v>
      </c>
      <c r="E34" s="109">
        <v>-22.888381500000008</v>
      </c>
      <c r="F34" s="18">
        <v>2007</v>
      </c>
      <c r="G34" s="19" t="s">
        <v>90</v>
      </c>
      <c r="H34" s="17" t="s">
        <v>177</v>
      </c>
      <c r="I34" s="17" t="s">
        <v>91</v>
      </c>
      <c r="J34" s="158" t="s">
        <v>93</v>
      </c>
      <c r="K34" s="17">
        <v>1800</v>
      </c>
      <c r="L34" s="158">
        <v>0.2</v>
      </c>
      <c r="M34" s="18" t="s">
        <v>80</v>
      </c>
      <c r="N34" s="17" t="s">
        <v>88</v>
      </c>
      <c r="O34" s="10">
        <f>(90+100+100+99.4+99+100)/6</f>
        <v>98.066666666666663</v>
      </c>
      <c r="P34" s="23">
        <v>1.0000000000000009E-2</v>
      </c>
      <c r="Q34" s="3">
        <v>8.2000000000000003E-2</v>
      </c>
      <c r="R34" s="3">
        <v>0.14000000000000001</v>
      </c>
      <c r="S34" s="3">
        <v>0.18</v>
      </c>
      <c r="T34" s="158"/>
    </row>
    <row r="35" spans="1:21" ht="14.25" customHeight="1">
      <c r="A35" s="270" t="s">
        <v>94</v>
      </c>
      <c r="B35" s="17" t="s">
        <v>89</v>
      </c>
      <c r="C35" s="158" t="s">
        <v>107</v>
      </c>
      <c r="D35" s="109">
        <v>-49.951645643103269</v>
      </c>
      <c r="E35" s="109">
        <v>-22.214933000000002</v>
      </c>
      <c r="F35" s="18">
        <v>2007</v>
      </c>
      <c r="G35" s="19" t="s">
        <v>90</v>
      </c>
      <c r="H35" s="17" t="s">
        <v>177</v>
      </c>
      <c r="I35" s="17" t="s">
        <v>91</v>
      </c>
      <c r="J35" s="158" t="s">
        <v>93</v>
      </c>
      <c r="K35" s="17">
        <v>1200</v>
      </c>
      <c r="L35" s="158">
        <v>0.2</v>
      </c>
      <c r="M35" s="18" t="s">
        <v>80</v>
      </c>
      <c r="N35" s="17" t="s">
        <v>88</v>
      </c>
      <c r="O35" s="10">
        <f>(98.5+98+98.9+100)/4</f>
        <v>98.85</v>
      </c>
      <c r="P35" s="23">
        <v>0</v>
      </c>
      <c r="Q35" s="3">
        <v>5.8000000000000003E-2</v>
      </c>
      <c r="R35" s="3">
        <v>0.11</v>
      </c>
      <c r="S35" s="3">
        <v>0.15</v>
      </c>
      <c r="T35" s="158"/>
      <c r="U35" s="23"/>
    </row>
    <row r="36" spans="1:21" ht="14.25" customHeight="1">
      <c r="A36" s="270" t="s">
        <v>94</v>
      </c>
      <c r="B36" s="17" t="s">
        <v>89</v>
      </c>
      <c r="C36" s="158" t="s">
        <v>108</v>
      </c>
      <c r="D36" s="109">
        <v>-51.386765581912492</v>
      </c>
      <c r="E36" s="109">
        <v>-22.122743500000002</v>
      </c>
      <c r="F36" s="18">
        <v>2007</v>
      </c>
      <c r="G36" s="19" t="s">
        <v>90</v>
      </c>
      <c r="H36" s="17" t="s">
        <v>177</v>
      </c>
      <c r="I36" s="17" t="s">
        <v>91</v>
      </c>
      <c r="J36" s="158" t="s">
        <v>93</v>
      </c>
      <c r="K36" s="17">
        <v>1200</v>
      </c>
      <c r="L36" s="158">
        <v>0.2</v>
      </c>
      <c r="M36" s="18" t="s">
        <v>80</v>
      </c>
      <c r="N36" s="17" t="s">
        <v>88</v>
      </c>
      <c r="O36" s="10">
        <f>(100+98.4+93+100)/4</f>
        <v>97.85</v>
      </c>
      <c r="P36" s="23">
        <v>1.999999999999999E-2</v>
      </c>
      <c r="Q36" s="3">
        <v>6.5000000000000002E-2</v>
      </c>
      <c r="R36" s="3">
        <v>0.16</v>
      </c>
      <c r="S36" s="3">
        <v>0.22</v>
      </c>
      <c r="T36" s="158"/>
    </row>
    <row r="37" spans="1:21" ht="14.25" customHeight="1">
      <c r="A37" s="270" t="s">
        <v>94</v>
      </c>
      <c r="B37" s="17" t="s">
        <v>89</v>
      </c>
      <c r="C37" s="158" t="s">
        <v>109</v>
      </c>
      <c r="D37" s="109">
        <v>-47.805475915541528</v>
      </c>
      <c r="E37" s="109">
        <v>-21.184834500000004</v>
      </c>
      <c r="F37" s="18">
        <v>2007</v>
      </c>
      <c r="G37" s="19" t="s">
        <v>90</v>
      </c>
      <c r="H37" s="17" t="s">
        <v>177</v>
      </c>
      <c r="I37" s="17" t="s">
        <v>91</v>
      </c>
      <c r="J37" s="158" t="s">
        <v>93</v>
      </c>
      <c r="K37" s="17">
        <v>1200</v>
      </c>
      <c r="L37" s="158">
        <v>0.2</v>
      </c>
      <c r="M37" s="18" t="s">
        <v>80</v>
      </c>
      <c r="N37" s="17" t="s">
        <v>88</v>
      </c>
      <c r="O37" s="10">
        <f>(99.4+100+100+96.6)/4</f>
        <v>99</v>
      </c>
      <c r="P37" s="23">
        <v>1.0000000000000009E-2</v>
      </c>
      <c r="Q37" s="3">
        <v>7.0999999999999994E-2</v>
      </c>
      <c r="R37" s="3">
        <v>0.14000000000000001</v>
      </c>
      <c r="S37" s="3">
        <v>0.18</v>
      </c>
      <c r="T37" s="158"/>
    </row>
    <row r="38" spans="1:21" ht="14.25" customHeight="1">
      <c r="A38" s="270" t="s">
        <v>94</v>
      </c>
      <c r="B38" s="17" t="s">
        <v>89</v>
      </c>
      <c r="C38" s="158" t="s">
        <v>110</v>
      </c>
      <c r="D38" s="109">
        <v>-46.331370849190684</v>
      </c>
      <c r="E38" s="109">
        <v>-23.933737500000003</v>
      </c>
      <c r="F38" s="18">
        <v>2007</v>
      </c>
      <c r="G38" s="19" t="s">
        <v>90</v>
      </c>
      <c r="H38" s="17" t="s">
        <v>177</v>
      </c>
      <c r="I38" s="17" t="s">
        <v>91</v>
      </c>
      <c r="J38" s="158" t="s">
        <v>93</v>
      </c>
      <c r="K38" s="17">
        <v>1200</v>
      </c>
      <c r="L38" s="158">
        <v>0.2</v>
      </c>
      <c r="M38" s="18" t="s">
        <v>80</v>
      </c>
      <c r="N38" s="17" t="s">
        <v>88</v>
      </c>
      <c r="O38" s="10">
        <f>(99.4+100+89+96)/4</f>
        <v>96.1</v>
      </c>
      <c r="P38" s="23">
        <v>0</v>
      </c>
      <c r="Q38" s="3">
        <v>9.1999999999999998E-2</v>
      </c>
      <c r="R38" s="3">
        <v>0.17</v>
      </c>
      <c r="S38" s="3">
        <v>0.22</v>
      </c>
      <c r="T38" s="158"/>
      <c r="U38" s="23"/>
    </row>
    <row r="39" spans="1:21" ht="14.25" customHeight="1">
      <c r="A39" s="270" t="s">
        <v>94</v>
      </c>
      <c r="B39" s="17" t="s">
        <v>89</v>
      </c>
      <c r="C39" s="158" t="s">
        <v>131</v>
      </c>
      <c r="D39" s="109">
        <v>-49.381347685025794</v>
      </c>
      <c r="E39" s="109">
        <v>-20.812636500000004</v>
      </c>
      <c r="F39" s="18">
        <v>2007</v>
      </c>
      <c r="G39" s="19" t="s">
        <v>90</v>
      </c>
      <c r="H39" s="17" t="s">
        <v>177</v>
      </c>
      <c r="I39" s="17" t="s">
        <v>91</v>
      </c>
      <c r="J39" s="158" t="s">
        <v>93</v>
      </c>
      <c r="K39" s="17">
        <v>1500</v>
      </c>
      <c r="L39" s="158">
        <v>0.2</v>
      </c>
      <c r="M39" s="18" t="s">
        <v>80</v>
      </c>
      <c r="N39" s="17" t="s">
        <v>88</v>
      </c>
      <c r="O39" s="10">
        <f>(100+100+99.4+79.4+100)/5</f>
        <v>95.759999999999991</v>
      </c>
      <c r="P39" s="23">
        <v>1.0000000000000009E-2</v>
      </c>
      <c r="Q39" s="3">
        <v>8.3000000000000004E-2</v>
      </c>
      <c r="R39" s="3">
        <v>0.17</v>
      </c>
      <c r="S39" s="3">
        <v>0.22</v>
      </c>
      <c r="T39" s="158"/>
    </row>
    <row r="40" spans="1:21" ht="14.25" customHeight="1">
      <c r="A40" s="270" t="s">
        <v>94</v>
      </c>
      <c r="B40" s="17" t="s">
        <v>89</v>
      </c>
      <c r="C40" s="158" t="s">
        <v>113</v>
      </c>
      <c r="D40" s="109">
        <v>-36.551091902005247</v>
      </c>
      <c r="E40" s="109">
        <v>-9.9316573889236714</v>
      </c>
      <c r="F40" s="18">
        <v>2007</v>
      </c>
      <c r="G40" s="19" t="s">
        <v>90</v>
      </c>
      <c r="H40" s="17" t="s">
        <v>177</v>
      </c>
      <c r="I40" s="17" t="s">
        <v>91</v>
      </c>
      <c r="J40" s="158" t="s">
        <v>93</v>
      </c>
      <c r="K40" s="17">
        <v>1200</v>
      </c>
      <c r="L40" s="158">
        <v>0.2</v>
      </c>
      <c r="M40" s="18" t="s">
        <v>80</v>
      </c>
      <c r="N40" s="17" t="s">
        <v>88</v>
      </c>
      <c r="O40" s="10">
        <f>(100+91+90.5+98.5)/4</f>
        <v>95</v>
      </c>
      <c r="P40" s="23">
        <v>1.0000000000000009E-2</v>
      </c>
      <c r="Q40" s="3">
        <v>0.11</v>
      </c>
      <c r="R40" s="3">
        <v>0.22</v>
      </c>
      <c r="S40" s="3">
        <v>0.31</v>
      </c>
      <c r="T40" s="158"/>
    </row>
    <row r="41" spans="1:21" ht="14.25" customHeight="1">
      <c r="A41" s="270" t="s">
        <v>94</v>
      </c>
      <c r="B41" s="17" t="s">
        <v>89</v>
      </c>
      <c r="C41" s="158" t="s">
        <v>114</v>
      </c>
      <c r="D41" s="109">
        <v>-47.457853253204043</v>
      </c>
      <c r="E41" s="109">
        <v>-23.499323</v>
      </c>
      <c r="F41" s="18">
        <v>2007</v>
      </c>
      <c r="G41" s="19" t="s">
        <v>90</v>
      </c>
      <c r="H41" s="17" t="s">
        <v>177</v>
      </c>
      <c r="I41" s="17" t="s">
        <v>91</v>
      </c>
      <c r="J41" s="158" t="s">
        <v>93</v>
      </c>
      <c r="K41" s="17">
        <v>1200</v>
      </c>
      <c r="L41" s="158">
        <v>0.2</v>
      </c>
      <c r="M41" s="18" t="s">
        <v>80</v>
      </c>
      <c r="N41" s="17" t="s">
        <v>88</v>
      </c>
      <c r="O41" s="10">
        <f>(98.3+95+100+97.5)/4</f>
        <v>97.7</v>
      </c>
      <c r="P41" s="23">
        <v>1.0000000000000009E-2</v>
      </c>
      <c r="Q41" s="3">
        <v>8.5000000000000006E-2</v>
      </c>
      <c r="R41" s="3">
        <v>0.19</v>
      </c>
      <c r="S41" s="3">
        <v>0.26</v>
      </c>
      <c r="T41" s="158"/>
      <c r="U41" s="23"/>
    </row>
    <row r="42" spans="1:21" ht="14.25" customHeight="1">
      <c r="A42" s="270" t="s">
        <v>94</v>
      </c>
      <c r="B42" s="17" t="s">
        <v>89</v>
      </c>
      <c r="C42" s="158" t="s">
        <v>141</v>
      </c>
      <c r="D42" s="109">
        <v>-47.887905478031342</v>
      </c>
      <c r="E42" s="109">
        <v>-15.794087361891002</v>
      </c>
      <c r="F42" s="18">
        <v>2007</v>
      </c>
      <c r="G42" s="19" t="s">
        <v>90</v>
      </c>
      <c r="H42" s="17" t="s">
        <v>177</v>
      </c>
      <c r="I42" s="17" t="s">
        <v>91</v>
      </c>
      <c r="J42" s="158" t="s">
        <v>93</v>
      </c>
      <c r="K42" s="17">
        <v>1200</v>
      </c>
      <c r="L42" s="158">
        <v>0.2</v>
      </c>
      <c r="M42" s="18" t="s">
        <v>80</v>
      </c>
      <c r="N42" s="17" t="s">
        <v>88</v>
      </c>
      <c r="O42" s="10">
        <f>(100+100+98+100)/4</f>
        <v>99.5</v>
      </c>
      <c r="P42" s="23">
        <v>1.0000000000000009E-2</v>
      </c>
      <c r="Q42" s="3">
        <v>7.3999999999999996E-2</v>
      </c>
      <c r="R42" s="3">
        <v>0.14000000000000001</v>
      </c>
      <c r="S42" s="3">
        <v>0.18</v>
      </c>
      <c r="T42" s="158"/>
    </row>
    <row r="43" spans="1:21" ht="14.25" customHeight="1">
      <c r="A43" s="270" t="s">
        <v>94</v>
      </c>
      <c r="B43" s="17" t="s">
        <v>89</v>
      </c>
      <c r="C43" s="158" t="s">
        <v>142</v>
      </c>
      <c r="D43" s="109">
        <v>-67.810528700423504</v>
      </c>
      <c r="E43" s="109">
        <v>-9.9782987527249833</v>
      </c>
      <c r="F43" s="18">
        <v>2007</v>
      </c>
      <c r="G43" s="19" t="s">
        <v>90</v>
      </c>
      <c r="H43" s="17" t="s">
        <v>177</v>
      </c>
      <c r="I43" s="17" t="s">
        <v>91</v>
      </c>
      <c r="J43" s="158" t="s">
        <v>93</v>
      </c>
      <c r="K43" s="17">
        <v>1200</v>
      </c>
      <c r="L43" s="158">
        <v>0.2</v>
      </c>
      <c r="M43" s="18" t="s">
        <v>80</v>
      </c>
      <c r="N43" s="17" t="s">
        <v>88</v>
      </c>
      <c r="O43" s="158">
        <f>(100+100+100+100)/4</f>
        <v>100</v>
      </c>
      <c r="P43" s="23">
        <v>1.0000000000000009E-2</v>
      </c>
      <c r="Q43" s="3">
        <v>6.7000000000000004E-2</v>
      </c>
      <c r="R43" s="3">
        <v>0.13</v>
      </c>
      <c r="S43" s="3">
        <v>0.17</v>
      </c>
      <c r="T43" s="158"/>
    </row>
    <row r="44" spans="1:21" ht="14.25" customHeight="1">
      <c r="A44" s="270" t="s">
        <v>94</v>
      </c>
      <c r="B44" s="17" t="s">
        <v>89</v>
      </c>
      <c r="C44" s="158" t="s">
        <v>145</v>
      </c>
      <c r="D44" s="158" t="s">
        <v>15</v>
      </c>
      <c r="E44" s="18">
        <v>-15.521407</v>
      </c>
      <c r="F44" s="18">
        <v>2007</v>
      </c>
      <c r="G44" s="19" t="s">
        <v>90</v>
      </c>
      <c r="H44" s="17" t="s">
        <v>177</v>
      </c>
      <c r="I44" s="17" t="s">
        <v>91</v>
      </c>
      <c r="J44" s="158" t="s">
        <v>93</v>
      </c>
      <c r="K44" s="17">
        <v>1500</v>
      </c>
      <c r="L44" s="158">
        <v>0.2</v>
      </c>
      <c r="M44" s="18" t="s">
        <v>80</v>
      </c>
      <c r="N44" s="17" t="s">
        <v>88</v>
      </c>
      <c r="O44" s="158">
        <f>(96+100+100+100+100)/5</f>
        <v>99.2</v>
      </c>
      <c r="P44" s="23">
        <v>6.9999999999999923E-3</v>
      </c>
      <c r="Q44" s="3">
        <v>6.0999999999999999E-2</v>
      </c>
      <c r="R44" s="3">
        <v>0.122</v>
      </c>
      <c r="S44" s="3">
        <v>0.16200000000000001</v>
      </c>
      <c r="T44" s="158"/>
      <c r="U44" s="23"/>
    </row>
    <row r="45" spans="1:21" ht="14.25" customHeight="1">
      <c r="A45" s="270" t="s">
        <v>94</v>
      </c>
      <c r="B45" s="17" t="s">
        <v>89</v>
      </c>
      <c r="C45" s="158" t="s">
        <v>151</v>
      </c>
      <c r="D45" s="92">
        <v>-47.9</v>
      </c>
      <c r="E45" s="92">
        <v>-15.8</v>
      </c>
      <c r="F45" s="18">
        <v>2007</v>
      </c>
      <c r="G45" s="19" t="s">
        <v>90</v>
      </c>
      <c r="H45" s="17" t="s">
        <v>177</v>
      </c>
      <c r="I45" s="17" t="s">
        <v>91</v>
      </c>
      <c r="J45" s="158" t="s">
        <v>93</v>
      </c>
      <c r="K45" s="17">
        <v>1200</v>
      </c>
      <c r="L45" s="158">
        <v>0.2</v>
      </c>
      <c r="M45" s="18" t="s">
        <v>80</v>
      </c>
      <c r="N45" s="17" t="s">
        <v>88</v>
      </c>
      <c r="O45" s="10">
        <f>(99+100+98.9+100)/4</f>
        <v>99.474999999999994</v>
      </c>
      <c r="P45" s="23">
        <v>1.0000000000000009E-2</v>
      </c>
      <c r="Q45" s="3">
        <v>7.4999999999999997E-2</v>
      </c>
      <c r="R45" s="3">
        <v>0.16</v>
      </c>
      <c r="S45" s="3">
        <v>0.22</v>
      </c>
      <c r="T45" s="158"/>
    </row>
    <row r="46" spans="1:21" ht="14.25" customHeight="1" thickBot="1">
      <c r="A46" s="11" t="s">
        <v>94</v>
      </c>
      <c r="B46" s="21" t="s">
        <v>89</v>
      </c>
      <c r="C46" s="11" t="s">
        <v>143</v>
      </c>
      <c r="D46" s="110">
        <v>-40.791594846362379</v>
      </c>
      <c r="E46" s="110">
        <v>-9.4708066384999352</v>
      </c>
      <c r="F46" s="21">
        <v>2007</v>
      </c>
      <c r="G46" s="22" t="s">
        <v>90</v>
      </c>
      <c r="H46" s="21" t="s">
        <v>177</v>
      </c>
      <c r="I46" s="21" t="s">
        <v>91</v>
      </c>
      <c r="J46" s="11" t="s">
        <v>93</v>
      </c>
      <c r="K46" s="21">
        <v>1200</v>
      </c>
      <c r="L46" s="11">
        <v>0.2</v>
      </c>
      <c r="M46" s="21" t="s">
        <v>80</v>
      </c>
      <c r="N46" s="21" t="s">
        <v>88</v>
      </c>
      <c r="O46" s="6">
        <f>(100+100+100+100)/4</f>
        <v>100</v>
      </c>
      <c r="P46" s="29">
        <v>0</v>
      </c>
      <c r="Q46" s="13">
        <v>6.5000000000000002E-2</v>
      </c>
      <c r="R46" s="13">
        <v>0.12</v>
      </c>
      <c r="S46" s="13">
        <v>0.16</v>
      </c>
      <c r="T46" s="158"/>
    </row>
    <row r="47" spans="1:21" ht="14.25" customHeight="1">
      <c r="A47" s="270" t="s">
        <v>94</v>
      </c>
      <c r="B47" s="17" t="s">
        <v>89</v>
      </c>
      <c r="C47" s="8" t="s">
        <v>124</v>
      </c>
      <c r="D47" s="261"/>
      <c r="E47" s="262"/>
      <c r="F47" s="18">
        <v>2007</v>
      </c>
      <c r="G47" s="19" t="s">
        <v>90</v>
      </c>
      <c r="H47" s="17" t="s">
        <v>188</v>
      </c>
      <c r="I47" s="17" t="s">
        <v>91</v>
      </c>
      <c r="J47" s="18" t="s">
        <v>20</v>
      </c>
      <c r="K47" s="158">
        <v>600</v>
      </c>
      <c r="L47" s="10">
        <v>73</v>
      </c>
      <c r="M47" s="111" t="s">
        <v>50</v>
      </c>
      <c r="N47" s="158" t="s">
        <v>88</v>
      </c>
      <c r="O47" s="5">
        <v>100</v>
      </c>
      <c r="P47" s="10">
        <v>0</v>
      </c>
      <c r="Q47" s="3"/>
      <c r="R47" s="3"/>
      <c r="S47" s="3"/>
      <c r="T47" s="17"/>
      <c r="U47" s="23"/>
    </row>
    <row r="48" spans="1:21" ht="14.25" customHeight="1">
      <c r="A48" s="270" t="s">
        <v>94</v>
      </c>
      <c r="B48" s="17" t="s">
        <v>89</v>
      </c>
      <c r="C48" s="158" t="s">
        <v>100</v>
      </c>
      <c r="D48" s="109">
        <v>-50.439226072752582</v>
      </c>
      <c r="E48" s="109">
        <v>-21.205476000000004</v>
      </c>
      <c r="F48" s="18">
        <v>2007</v>
      </c>
      <c r="G48" s="19" t="s">
        <v>90</v>
      </c>
      <c r="H48" s="17" t="s">
        <v>188</v>
      </c>
      <c r="I48" s="17" t="s">
        <v>91</v>
      </c>
      <c r="J48" s="18" t="s">
        <v>20</v>
      </c>
      <c r="K48" s="158">
        <v>600</v>
      </c>
      <c r="L48" s="10">
        <v>146</v>
      </c>
      <c r="M48" s="111" t="s">
        <v>50</v>
      </c>
      <c r="N48" s="158" t="s">
        <v>88</v>
      </c>
      <c r="O48" s="10">
        <f>(57.5+52.1+35.8+60)/4</f>
        <v>51.349999999999994</v>
      </c>
      <c r="P48" s="10">
        <v>10.878265793161487</v>
      </c>
      <c r="Q48" s="3"/>
      <c r="R48" s="3"/>
      <c r="S48" s="3"/>
    </row>
    <row r="49" spans="1:21" ht="14.25" customHeight="1">
      <c r="A49" s="270" t="s">
        <v>94</v>
      </c>
      <c r="B49" s="17" t="s">
        <v>89</v>
      </c>
      <c r="C49" s="158" t="s">
        <v>104</v>
      </c>
      <c r="D49" s="109">
        <v>-48.441289384350434</v>
      </c>
      <c r="E49" s="109">
        <v>-22.888381500000008</v>
      </c>
      <c r="F49" s="18">
        <v>2007</v>
      </c>
      <c r="G49" s="19" t="s">
        <v>90</v>
      </c>
      <c r="H49" s="17" t="s">
        <v>188</v>
      </c>
      <c r="I49" s="17" t="s">
        <v>91</v>
      </c>
      <c r="J49" s="18" t="s">
        <v>20</v>
      </c>
      <c r="K49" s="158">
        <v>600</v>
      </c>
      <c r="L49" s="10">
        <v>146</v>
      </c>
      <c r="M49" s="111" t="s">
        <v>50</v>
      </c>
      <c r="N49" s="158" t="s">
        <v>88</v>
      </c>
      <c r="O49" s="10">
        <f>(91.6+94+96.8+91.7)/4</f>
        <v>93.524999999999991</v>
      </c>
      <c r="P49" s="10">
        <v>2.4486390778008364</v>
      </c>
      <c r="Q49" s="3"/>
      <c r="R49" s="3"/>
      <c r="S49" s="3"/>
    </row>
    <row r="50" spans="1:21" ht="14.25" customHeight="1">
      <c r="A50" s="270" t="s">
        <v>94</v>
      </c>
      <c r="B50" s="17" t="s">
        <v>89</v>
      </c>
      <c r="C50" s="158" t="s">
        <v>107</v>
      </c>
      <c r="D50" s="109">
        <v>-49.951645643103269</v>
      </c>
      <c r="E50" s="109">
        <v>-22.214933000000002</v>
      </c>
      <c r="F50" s="18">
        <v>2007</v>
      </c>
      <c r="G50" s="19" t="s">
        <v>90</v>
      </c>
      <c r="H50" s="17" t="s">
        <v>188</v>
      </c>
      <c r="I50" s="17" t="s">
        <v>91</v>
      </c>
      <c r="J50" s="18" t="s">
        <v>20</v>
      </c>
      <c r="K50" s="158">
        <v>600</v>
      </c>
      <c r="L50" s="10">
        <v>146</v>
      </c>
      <c r="M50" s="111" t="s">
        <v>50</v>
      </c>
      <c r="N50" s="158" t="s">
        <v>88</v>
      </c>
      <c r="O50" s="10">
        <f>(87+98.8+92.8+95)/4</f>
        <v>93.4</v>
      </c>
      <c r="P50" s="10">
        <v>4.9342341519902213</v>
      </c>
      <c r="Q50" s="3"/>
      <c r="R50" s="3"/>
      <c r="S50" s="3"/>
      <c r="U50" s="23"/>
    </row>
    <row r="51" spans="1:21" ht="14.25" customHeight="1">
      <c r="A51" s="270" t="s">
        <v>94</v>
      </c>
      <c r="B51" s="17" t="s">
        <v>89</v>
      </c>
      <c r="C51" s="158" t="s">
        <v>108</v>
      </c>
      <c r="D51" s="109">
        <v>-51.386765581912492</v>
      </c>
      <c r="E51" s="109">
        <v>-22.122743500000002</v>
      </c>
      <c r="F51" s="18">
        <v>2007</v>
      </c>
      <c r="G51" s="19" t="s">
        <v>90</v>
      </c>
      <c r="H51" s="17" t="s">
        <v>188</v>
      </c>
      <c r="I51" s="17" t="s">
        <v>91</v>
      </c>
      <c r="J51" s="18" t="s">
        <v>20</v>
      </c>
      <c r="K51" s="158">
        <v>750</v>
      </c>
      <c r="L51" s="10">
        <v>146</v>
      </c>
      <c r="M51" s="111" t="s">
        <v>50</v>
      </c>
      <c r="N51" s="158" t="s">
        <v>88</v>
      </c>
      <c r="O51" s="10">
        <f>(60+49.5+58.8+95.8+68)/5</f>
        <v>66.42</v>
      </c>
      <c r="P51" s="10">
        <v>17.68649202074846</v>
      </c>
      <c r="Q51" s="3"/>
      <c r="R51" s="3"/>
      <c r="S51" s="3"/>
    </row>
    <row r="52" spans="1:21" ht="14.25" customHeight="1">
      <c r="A52" s="270" t="s">
        <v>94</v>
      </c>
      <c r="B52" s="17" t="s">
        <v>89</v>
      </c>
      <c r="C52" s="158" t="s">
        <v>109</v>
      </c>
      <c r="D52" s="109">
        <v>-47.805475915541528</v>
      </c>
      <c r="E52" s="109">
        <v>-21.184834500000004</v>
      </c>
      <c r="F52" s="18">
        <v>2007</v>
      </c>
      <c r="G52" s="19" t="s">
        <v>90</v>
      </c>
      <c r="H52" s="17" t="s">
        <v>188</v>
      </c>
      <c r="I52" s="17" t="s">
        <v>91</v>
      </c>
      <c r="J52" s="18" t="s">
        <v>20</v>
      </c>
      <c r="K52" s="158">
        <v>600</v>
      </c>
      <c r="L52" s="10">
        <v>146</v>
      </c>
      <c r="M52" s="111" t="s">
        <v>50</v>
      </c>
      <c r="N52" s="158" t="s">
        <v>88</v>
      </c>
      <c r="O52" s="10">
        <f>(67.5+48+70.6+42.6)/4</f>
        <v>57.174999999999997</v>
      </c>
      <c r="P52" s="10">
        <v>13.945698261471172</v>
      </c>
      <c r="Q52" s="3"/>
      <c r="R52" s="3"/>
      <c r="S52" s="3"/>
    </row>
    <row r="53" spans="1:21" ht="14.25" customHeight="1">
      <c r="A53" s="270" t="s">
        <v>94</v>
      </c>
      <c r="B53" s="17" t="s">
        <v>89</v>
      </c>
      <c r="C53" s="158" t="s">
        <v>110</v>
      </c>
      <c r="D53" s="109">
        <v>-46.331370849190684</v>
      </c>
      <c r="E53" s="109">
        <v>-23.933737500000003</v>
      </c>
      <c r="F53" s="18">
        <v>2007</v>
      </c>
      <c r="G53" s="19" t="s">
        <v>90</v>
      </c>
      <c r="H53" s="17" t="s">
        <v>188</v>
      </c>
      <c r="I53" s="17" t="s">
        <v>91</v>
      </c>
      <c r="J53" s="18" t="s">
        <v>20</v>
      </c>
      <c r="K53" s="158">
        <v>600</v>
      </c>
      <c r="L53" s="10">
        <v>146</v>
      </c>
      <c r="M53" s="111" t="s">
        <v>50</v>
      </c>
      <c r="N53" s="158" t="s">
        <v>88</v>
      </c>
      <c r="O53" s="10">
        <f>(51.6+25.8+61+55.6)/4</f>
        <v>48.5</v>
      </c>
      <c r="P53" s="10">
        <v>15.64003276850789</v>
      </c>
      <c r="Q53" s="3"/>
      <c r="R53" s="3"/>
      <c r="S53" s="3"/>
      <c r="U53" s="23"/>
    </row>
    <row r="54" spans="1:21" ht="14.25" customHeight="1">
      <c r="A54" s="270" t="s">
        <v>94</v>
      </c>
      <c r="B54" s="17" t="s">
        <v>89</v>
      </c>
      <c r="C54" s="158" t="s">
        <v>131</v>
      </c>
      <c r="D54" s="109">
        <v>-49.381347685025794</v>
      </c>
      <c r="E54" s="109">
        <v>-20.812636500000004</v>
      </c>
      <c r="F54" s="18">
        <v>2007</v>
      </c>
      <c r="G54" s="19" t="s">
        <v>90</v>
      </c>
      <c r="H54" s="17" t="s">
        <v>188</v>
      </c>
      <c r="I54" s="17" t="s">
        <v>91</v>
      </c>
      <c r="J54" s="18" t="s">
        <v>20</v>
      </c>
      <c r="K54" s="158">
        <v>750</v>
      </c>
      <c r="L54" s="10">
        <v>146</v>
      </c>
      <c r="M54" s="111" t="s">
        <v>50</v>
      </c>
      <c r="N54" s="158" t="s">
        <v>88</v>
      </c>
      <c r="O54" s="10">
        <f>(71.7+91.4+67.7+41.9+78)/5</f>
        <v>70.14</v>
      </c>
      <c r="P54" s="10">
        <v>18.163507370549372</v>
      </c>
      <c r="Q54" s="3"/>
      <c r="R54" s="3"/>
      <c r="S54" s="3"/>
    </row>
    <row r="55" spans="1:21" ht="14.25" customHeight="1">
      <c r="A55" s="270" t="s">
        <v>94</v>
      </c>
      <c r="B55" s="17" t="s">
        <v>89</v>
      </c>
      <c r="C55" s="158" t="s">
        <v>113</v>
      </c>
      <c r="D55" s="109">
        <v>-36.551091902005247</v>
      </c>
      <c r="E55" s="109">
        <v>-9.9316573889236714</v>
      </c>
      <c r="F55" s="18">
        <v>2007</v>
      </c>
      <c r="G55" s="19" t="s">
        <v>90</v>
      </c>
      <c r="H55" s="17" t="s">
        <v>188</v>
      </c>
      <c r="I55" s="17" t="s">
        <v>91</v>
      </c>
      <c r="J55" s="18" t="s">
        <v>20</v>
      </c>
      <c r="K55" s="158">
        <v>600</v>
      </c>
      <c r="L55" s="10">
        <v>146</v>
      </c>
      <c r="M55" s="111" t="s">
        <v>50</v>
      </c>
      <c r="N55" s="158" t="s">
        <v>88</v>
      </c>
      <c r="O55" s="10">
        <f>(63+61.7+51+67)/4</f>
        <v>60.674999999999997</v>
      </c>
      <c r="P55" s="10">
        <v>6.8329471435586759</v>
      </c>
      <c r="Q55" s="3"/>
      <c r="R55" s="3"/>
      <c r="S55" s="3"/>
    </row>
    <row r="56" spans="1:21" ht="14.25" customHeight="1">
      <c r="A56" s="270" t="s">
        <v>94</v>
      </c>
      <c r="B56" s="17" t="s">
        <v>89</v>
      </c>
      <c r="C56" s="158" t="s">
        <v>114</v>
      </c>
      <c r="D56" s="109">
        <v>-47.457853253204043</v>
      </c>
      <c r="E56" s="109">
        <v>-23.499323</v>
      </c>
      <c r="F56" s="18">
        <v>2007</v>
      </c>
      <c r="G56" s="19" t="s">
        <v>90</v>
      </c>
      <c r="H56" s="17" t="s">
        <v>188</v>
      </c>
      <c r="I56" s="17" t="s">
        <v>91</v>
      </c>
      <c r="J56" s="18" t="s">
        <v>20</v>
      </c>
      <c r="K56" s="158">
        <v>600</v>
      </c>
      <c r="L56" s="10">
        <v>146</v>
      </c>
      <c r="M56" s="111" t="s">
        <v>50</v>
      </c>
      <c r="N56" s="158" t="s">
        <v>88</v>
      </c>
      <c r="O56" s="10">
        <f>(86.4+79+77.8+89)/4</f>
        <v>83.05</v>
      </c>
      <c r="P56" s="10">
        <v>5.4951493761923054</v>
      </c>
      <c r="Q56" s="3"/>
      <c r="R56" s="3"/>
      <c r="S56" s="3"/>
      <c r="U56" s="23"/>
    </row>
    <row r="57" spans="1:21" ht="14.25" customHeight="1">
      <c r="A57" s="270" t="s">
        <v>94</v>
      </c>
      <c r="B57" s="17" t="s">
        <v>89</v>
      </c>
      <c r="C57" s="158" t="s">
        <v>141</v>
      </c>
      <c r="D57" s="109">
        <v>-47.887905478031342</v>
      </c>
      <c r="E57" s="109">
        <v>-15.794087361891002</v>
      </c>
      <c r="F57" s="18">
        <v>2007</v>
      </c>
      <c r="G57" s="19" t="s">
        <v>90</v>
      </c>
      <c r="H57" s="17" t="s">
        <v>188</v>
      </c>
      <c r="I57" s="17" t="s">
        <v>91</v>
      </c>
      <c r="J57" s="18" t="s">
        <v>20</v>
      </c>
      <c r="K57" s="158">
        <v>750</v>
      </c>
      <c r="L57" s="10">
        <v>146</v>
      </c>
      <c r="M57" s="111" t="s">
        <v>50</v>
      </c>
      <c r="N57" s="158" t="s">
        <v>88</v>
      </c>
      <c r="O57" s="158">
        <f>(69+67+89+55.2+56.8)/5</f>
        <v>67.400000000000006</v>
      </c>
      <c r="P57" s="10">
        <v>13.513696755514381</v>
      </c>
      <c r="Q57" s="3"/>
      <c r="R57" s="3"/>
      <c r="S57" s="3"/>
    </row>
    <row r="58" spans="1:21" ht="14.25" customHeight="1">
      <c r="A58" s="270" t="s">
        <v>94</v>
      </c>
      <c r="B58" s="17" t="s">
        <v>89</v>
      </c>
      <c r="C58" s="158" t="s">
        <v>151</v>
      </c>
      <c r="D58" s="92">
        <v>-47.9</v>
      </c>
      <c r="E58" s="92">
        <v>-15.8</v>
      </c>
      <c r="F58" s="18">
        <v>2007</v>
      </c>
      <c r="G58" s="19" t="s">
        <v>90</v>
      </c>
      <c r="H58" s="17" t="s">
        <v>188</v>
      </c>
      <c r="I58" s="17" t="s">
        <v>91</v>
      </c>
      <c r="J58" s="18" t="s">
        <v>20</v>
      </c>
      <c r="K58" s="158">
        <v>600</v>
      </c>
      <c r="L58" s="10">
        <v>146</v>
      </c>
      <c r="M58" s="111" t="s">
        <v>50</v>
      </c>
      <c r="N58" s="158" t="s">
        <v>88</v>
      </c>
      <c r="O58" s="10">
        <f>(75.8+96+79+95.9)/4</f>
        <v>86.675000000000011</v>
      </c>
      <c r="P58" s="10">
        <v>6.8</v>
      </c>
      <c r="Q58" s="3"/>
      <c r="R58" s="3"/>
      <c r="S58" s="3"/>
    </row>
    <row r="59" spans="1:21" ht="14.25" customHeight="1">
      <c r="A59" s="270" t="s">
        <v>94</v>
      </c>
      <c r="B59" s="17" t="s">
        <v>89</v>
      </c>
      <c r="C59" s="158" t="s">
        <v>143</v>
      </c>
      <c r="D59" s="127">
        <v>-40.791594846362379</v>
      </c>
      <c r="E59" s="127">
        <v>-9.4708066384999352</v>
      </c>
      <c r="F59" s="18">
        <v>2007</v>
      </c>
      <c r="G59" s="19" t="s">
        <v>90</v>
      </c>
      <c r="H59" s="17" t="s">
        <v>188</v>
      </c>
      <c r="I59" s="17" t="s">
        <v>91</v>
      </c>
      <c r="J59" s="18" t="s">
        <v>20</v>
      </c>
      <c r="K59" s="158">
        <v>900</v>
      </c>
      <c r="L59" s="10">
        <v>146</v>
      </c>
      <c r="M59" s="111" t="s">
        <v>50</v>
      </c>
      <c r="N59" s="158" t="s">
        <v>88</v>
      </c>
      <c r="O59" s="10">
        <f>(73.2+77.5+96+93.8+27.8+82.6)/6</f>
        <v>75.149999999999991</v>
      </c>
      <c r="P59" s="10">
        <v>24.857172003266999</v>
      </c>
      <c r="Q59" s="3"/>
      <c r="R59" s="3"/>
      <c r="S59" s="3"/>
      <c r="U59" s="23"/>
    </row>
    <row r="60" spans="1:21" ht="14.25" customHeight="1">
      <c r="A60" s="270" t="s">
        <v>94</v>
      </c>
      <c r="B60" s="17" t="s">
        <v>89</v>
      </c>
      <c r="C60" s="158" t="s">
        <v>145</v>
      </c>
      <c r="D60" s="158" t="s">
        <v>15</v>
      </c>
      <c r="E60" s="18">
        <v>-15.521407</v>
      </c>
      <c r="F60" s="18">
        <v>2007</v>
      </c>
      <c r="G60" s="19" t="s">
        <v>90</v>
      </c>
      <c r="H60" s="17" t="s">
        <v>188</v>
      </c>
      <c r="I60" s="17" t="s">
        <v>91</v>
      </c>
      <c r="J60" s="18" t="s">
        <v>20</v>
      </c>
      <c r="K60" s="158">
        <v>1200</v>
      </c>
      <c r="L60" s="10">
        <v>146</v>
      </c>
      <c r="M60" s="111" t="s">
        <v>50</v>
      </c>
      <c r="N60" s="158" t="s">
        <v>88</v>
      </c>
      <c r="O60" s="10">
        <f>(99+70.3+94.8+94+63.5+38+92.5+40.4)/8</f>
        <v>74.0625</v>
      </c>
      <c r="P60" s="10">
        <v>23.8</v>
      </c>
      <c r="Q60" s="3"/>
      <c r="R60" s="3"/>
      <c r="S60" s="3"/>
    </row>
    <row r="61" spans="1:21" ht="14.25" customHeight="1" thickBot="1">
      <c r="A61" s="11" t="s">
        <v>94</v>
      </c>
      <c r="B61" s="21" t="s">
        <v>89</v>
      </c>
      <c r="C61" s="11" t="s">
        <v>142</v>
      </c>
      <c r="D61" s="110">
        <v>-67.810528700423504</v>
      </c>
      <c r="E61" s="110">
        <v>-9.9782987527249833</v>
      </c>
      <c r="F61" s="21">
        <v>2007</v>
      </c>
      <c r="G61" s="22" t="s">
        <v>90</v>
      </c>
      <c r="H61" s="21" t="s">
        <v>188</v>
      </c>
      <c r="I61" s="21" t="s">
        <v>91</v>
      </c>
      <c r="J61" s="21" t="s">
        <v>20</v>
      </c>
      <c r="K61" s="11">
        <v>900</v>
      </c>
      <c r="L61" s="30">
        <v>146</v>
      </c>
      <c r="M61" s="114" t="s">
        <v>50</v>
      </c>
      <c r="N61" s="11" t="s">
        <v>88</v>
      </c>
      <c r="O61" s="30">
        <f>(75.5+89.4+86.1+99+92.8+95.8)/6</f>
        <v>89.766666666666666</v>
      </c>
      <c r="P61" s="30">
        <v>8.3423417975210459</v>
      </c>
      <c r="Q61" s="3"/>
      <c r="R61" s="3"/>
      <c r="S61" s="3"/>
    </row>
    <row r="62" spans="1:21" ht="14.25" customHeight="1">
      <c r="A62" s="270" t="s">
        <v>94</v>
      </c>
      <c r="B62" s="17" t="s">
        <v>89</v>
      </c>
      <c r="C62" s="8" t="s">
        <v>124</v>
      </c>
      <c r="D62" s="261"/>
      <c r="E62" s="262"/>
      <c r="F62" s="18">
        <v>2007</v>
      </c>
      <c r="G62" s="19" t="s">
        <v>90</v>
      </c>
      <c r="H62" s="17" t="s">
        <v>188</v>
      </c>
      <c r="I62" s="17" t="s">
        <v>91</v>
      </c>
      <c r="J62" s="18" t="s">
        <v>93</v>
      </c>
      <c r="K62" s="158">
        <v>600</v>
      </c>
      <c r="L62" s="10">
        <v>146</v>
      </c>
      <c r="M62" s="111" t="s">
        <v>50</v>
      </c>
      <c r="N62" s="158" t="s">
        <v>88</v>
      </c>
      <c r="O62" s="5">
        <v>100</v>
      </c>
      <c r="P62" s="10">
        <v>0</v>
      </c>
      <c r="Q62" s="3"/>
      <c r="R62" s="3"/>
      <c r="S62" s="3"/>
    </row>
    <row r="63" spans="1:21" ht="14.25" customHeight="1">
      <c r="A63" s="270" t="s">
        <v>94</v>
      </c>
      <c r="B63" s="17" t="s">
        <v>89</v>
      </c>
      <c r="C63" s="158" t="s">
        <v>100</v>
      </c>
      <c r="D63" s="127">
        <v>-50.439226072752582</v>
      </c>
      <c r="E63" s="127">
        <v>-21.205476000000004</v>
      </c>
      <c r="F63" s="18">
        <v>2007</v>
      </c>
      <c r="G63" s="19" t="s">
        <v>90</v>
      </c>
      <c r="H63" s="17" t="s">
        <v>188</v>
      </c>
      <c r="I63" s="17" t="s">
        <v>91</v>
      </c>
      <c r="J63" s="158" t="s">
        <v>93</v>
      </c>
      <c r="K63" s="158">
        <v>900</v>
      </c>
      <c r="L63" s="10">
        <v>292</v>
      </c>
      <c r="M63" s="111" t="s">
        <v>50</v>
      </c>
      <c r="N63" s="158" t="s">
        <v>88</v>
      </c>
      <c r="O63" s="10">
        <f>(100+100+98.75+100+100+100)/6</f>
        <v>99.791666666666671</v>
      </c>
      <c r="P63" s="10">
        <v>1</v>
      </c>
      <c r="Q63" s="3"/>
      <c r="R63" s="3"/>
      <c r="S63" s="3"/>
    </row>
    <row r="64" spans="1:21" ht="14.25" customHeight="1">
      <c r="A64" s="270" t="s">
        <v>94</v>
      </c>
      <c r="B64" s="17" t="s">
        <v>89</v>
      </c>
      <c r="C64" s="158" t="s">
        <v>104</v>
      </c>
      <c r="D64" s="109">
        <v>-48.441289384350434</v>
      </c>
      <c r="E64" s="109">
        <v>-22.888381500000008</v>
      </c>
      <c r="F64" s="18">
        <v>2007</v>
      </c>
      <c r="G64" s="19" t="s">
        <v>90</v>
      </c>
      <c r="H64" s="17" t="s">
        <v>188</v>
      </c>
      <c r="I64" s="17" t="s">
        <v>91</v>
      </c>
      <c r="J64" s="158" t="s">
        <v>93</v>
      </c>
      <c r="K64" s="5">
        <v>600</v>
      </c>
      <c r="L64" s="10">
        <v>292</v>
      </c>
      <c r="M64" s="111" t="s">
        <v>50</v>
      </c>
      <c r="N64" s="158" t="s">
        <v>88</v>
      </c>
      <c r="O64" s="5">
        <f>(100+100+100+100)/4</f>
        <v>100</v>
      </c>
      <c r="P64" s="10">
        <v>0</v>
      </c>
      <c r="Q64" s="3"/>
      <c r="R64" s="3"/>
      <c r="S64" s="3"/>
      <c r="U64" s="23"/>
    </row>
    <row r="65" spans="1:21" ht="14.25" customHeight="1">
      <c r="A65" s="270" t="s">
        <v>94</v>
      </c>
      <c r="B65" s="17" t="s">
        <v>89</v>
      </c>
      <c r="C65" s="158" t="s">
        <v>107</v>
      </c>
      <c r="D65" s="109">
        <v>-49.951645643103269</v>
      </c>
      <c r="E65" s="109">
        <v>-22.214933000000002</v>
      </c>
      <c r="F65" s="18">
        <v>2007</v>
      </c>
      <c r="G65" s="19" t="s">
        <v>90</v>
      </c>
      <c r="H65" s="17" t="s">
        <v>188</v>
      </c>
      <c r="I65" s="17" t="s">
        <v>91</v>
      </c>
      <c r="J65" s="158" t="s">
        <v>93</v>
      </c>
      <c r="K65" s="5">
        <v>600</v>
      </c>
      <c r="L65" s="10">
        <v>292</v>
      </c>
      <c r="M65" s="111" t="s">
        <v>50</v>
      </c>
      <c r="N65" s="158" t="s">
        <v>88</v>
      </c>
      <c r="O65" s="10">
        <f>(100+100+99+100)/4</f>
        <v>99.75</v>
      </c>
      <c r="P65" s="158">
        <v>0.5</v>
      </c>
      <c r="Q65" s="3"/>
      <c r="R65" s="3"/>
      <c r="S65" s="3"/>
    </row>
    <row r="66" spans="1:21" ht="14.25" customHeight="1">
      <c r="A66" s="270" t="s">
        <v>94</v>
      </c>
      <c r="B66" s="17" t="s">
        <v>89</v>
      </c>
      <c r="C66" s="158" t="s">
        <v>108</v>
      </c>
      <c r="D66" s="109">
        <v>-51.386765581912492</v>
      </c>
      <c r="E66" s="109">
        <v>-22.122743500000002</v>
      </c>
      <c r="F66" s="18">
        <v>2007</v>
      </c>
      <c r="G66" s="19" t="s">
        <v>90</v>
      </c>
      <c r="H66" s="17" t="s">
        <v>188</v>
      </c>
      <c r="I66" s="17" t="s">
        <v>91</v>
      </c>
      <c r="J66" s="158" t="s">
        <v>93</v>
      </c>
      <c r="K66" s="5">
        <v>600</v>
      </c>
      <c r="L66" s="10">
        <v>292</v>
      </c>
      <c r="M66" s="111" t="s">
        <v>50</v>
      </c>
      <c r="N66" s="158" t="s">
        <v>88</v>
      </c>
      <c r="O66" s="10">
        <f>(98.7+99+100+100)/4</f>
        <v>99.424999999999997</v>
      </c>
      <c r="P66" s="158">
        <v>0.7</v>
      </c>
      <c r="Q66" s="3"/>
      <c r="R66" s="3"/>
      <c r="S66" s="3"/>
    </row>
    <row r="67" spans="1:21" ht="14.25" customHeight="1">
      <c r="A67" s="270" t="s">
        <v>94</v>
      </c>
      <c r="B67" s="17" t="s">
        <v>89</v>
      </c>
      <c r="C67" s="158" t="s">
        <v>109</v>
      </c>
      <c r="D67" s="109">
        <v>-47.805475915541528</v>
      </c>
      <c r="E67" s="109">
        <v>-21.184834500000004</v>
      </c>
      <c r="F67" s="18">
        <v>2007</v>
      </c>
      <c r="G67" s="19" t="s">
        <v>90</v>
      </c>
      <c r="H67" s="17" t="s">
        <v>188</v>
      </c>
      <c r="I67" s="17" t="s">
        <v>91</v>
      </c>
      <c r="J67" s="158" t="s">
        <v>93</v>
      </c>
      <c r="K67" s="5">
        <v>600</v>
      </c>
      <c r="L67" s="10">
        <v>292</v>
      </c>
      <c r="M67" s="111" t="s">
        <v>50</v>
      </c>
      <c r="N67" s="158" t="s">
        <v>88</v>
      </c>
      <c r="O67" s="10">
        <f>(100+99+100+100)/4</f>
        <v>99.75</v>
      </c>
      <c r="P67" s="158">
        <v>0.5</v>
      </c>
      <c r="Q67" s="3"/>
      <c r="R67" s="3"/>
      <c r="S67" s="3"/>
      <c r="U67" s="23"/>
    </row>
    <row r="68" spans="1:21" ht="14.25" customHeight="1">
      <c r="A68" s="270" t="s">
        <v>94</v>
      </c>
      <c r="B68" s="17" t="s">
        <v>89</v>
      </c>
      <c r="C68" s="158" t="s">
        <v>110</v>
      </c>
      <c r="D68" s="109">
        <v>-46.331370849190684</v>
      </c>
      <c r="E68" s="109">
        <v>-23.933737500000003</v>
      </c>
      <c r="F68" s="18">
        <v>2007</v>
      </c>
      <c r="G68" s="19" t="s">
        <v>90</v>
      </c>
      <c r="H68" s="17" t="s">
        <v>188</v>
      </c>
      <c r="I68" s="17" t="s">
        <v>91</v>
      </c>
      <c r="J68" s="158" t="s">
        <v>93</v>
      </c>
      <c r="K68" s="5">
        <v>750</v>
      </c>
      <c r="L68" s="10">
        <v>292</v>
      </c>
      <c r="M68" s="111" t="s">
        <v>50</v>
      </c>
      <c r="N68" s="158" t="s">
        <v>88</v>
      </c>
      <c r="O68" s="10">
        <f>(100+100+100+97+100)/5</f>
        <v>99.4</v>
      </c>
      <c r="P68" s="158">
        <v>1.3</v>
      </c>
      <c r="Q68" s="3"/>
      <c r="R68" s="3"/>
      <c r="S68" s="3"/>
    </row>
    <row r="69" spans="1:21" ht="14.25" customHeight="1">
      <c r="A69" s="270" t="s">
        <v>94</v>
      </c>
      <c r="B69" s="17" t="s">
        <v>89</v>
      </c>
      <c r="C69" s="158" t="s">
        <v>131</v>
      </c>
      <c r="D69" s="109">
        <v>-49.381347685025794</v>
      </c>
      <c r="E69" s="109">
        <v>-20.812636500000004</v>
      </c>
      <c r="F69" s="18">
        <v>2007</v>
      </c>
      <c r="G69" s="19" t="s">
        <v>90</v>
      </c>
      <c r="H69" s="17" t="s">
        <v>188</v>
      </c>
      <c r="I69" s="17" t="s">
        <v>91</v>
      </c>
      <c r="J69" s="158" t="s">
        <v>93</v>
      </c>
      <c r="K69" s="158">
        <v>900</v>
      </c>
      <c r="L69" s="10">
        <v>292</v>
      </c>
      <c r="M69" s="111" t="s">
        <v>50</v>
      </c>
      <c r="N69" s="158" t="s">
        <v>88</v>
      </c>
      <c r="O69" s="10">
        <f>(100+100+100+73.7+100+100+100+100)/8</f>
        <v>96.712500000000006</v>
      </c>
      <c r="P69" s="158">
        <v>9.3000000000000007</v>
      </c>
      <c r="Q69" s="3"/>
      <c r="R69" s="3"/>
      <c r="S69" s="3"/>
    </row>
    <row r="70" spans="1:21" ht="14.25" customHeight="1">
      <c r="A70" s="270" t="s">
        <v>94</v>
      </c>
      <c r="B70" s="17" t="s">
        <v>89</v>
      </c>
      <c r="C70" s="158" t="s">
        <v>113</v>
      </c>
      <c r="D70" s="109">
        <v>-36.551091902005247</v>
      </c>
      <c r="E70" s="109">
        <v>-9.9316573889236714</v>
      </c>
      <c r="F70" s="18">
        <v>2007</v>
      </c>
      <c r="G70" s="19" t="s">
        <v>90</v>
      </c>
      <c r="H70" s="17" t="s">
        <v>188</v>
      </c>
      <c r="I70" s="17" t="s">
        <v>91</v>
      </c>
      <c r="J70" s="158" t="s">
        <v>93</v>
      </c>
      <c r="K70" s="158">
        <v>900</v>
      </c>
      <c r="L70" s="10">
        <v>292</v>
      </c>
      <c r="M70" s="111" t="s">
        <v>50</v>
      </c>
      <c r="N70" s="158" t="s">
        <v>88</v>
      </c>
      <c r="O70" s="10">
        <f>(100+100+100+100+100+100+100+97)/8</f>
        <v>99.625</v>
      </c>
      <c r="P70" s="158">
        <v>0.3</v>
      </c>
      <c r="Q70" s="3"/>
      <c r="R70" s="3"/>
      <c r="S70" s="3"/>
      <c r="U70" s="23"/>
    </row>
    <row r="71" spans="1:21" ht="14.25" customHeight="1">
      <c r="A71" s="270" t="s">
        <v>94</v>
      </c>
      <c r="B71" s="17" t="s">
        <v>89</v>
      </c>
      <c r="C71" s="158" t="s">
        <v>114</v>
      </c>
      <c r="D71" s="109">
        <v>-47.457853253204043</v>
      </c>
      <c r="E71" s="109">
        <v>-23.499323</v>
      </c>
      <c r="F71" s="18">
        <v>2007</v>
      </c>
      <c r="G71" s="19" t="s">
        <v>90</v>
      </c>
      <c r="H71" s="17" t="s">
        <v>188</v>
      </c>
      <c r="I71" s="17" t="s">
        <v>91</v>
      </c>
      <c r="J71" s="158" t="s">
        <v>93</v>
      </c>
      <c r="K71" s="158">
        <v>750</v>
      </c>
      <c r="L71" s="10">
        <v>292</v>
      </c>
      <c r="M71" s="111" t="s">
        <v>50</v>
      </c>
      <c r="N71" s="158" t="s">
        <v>88</v>
      </c>
      <c r="O71" s="158">
        <f>(100+100+100+100+100)/5</f>
        <v>100</v>
      </c>
      <c r="P71" s="10">
        <v>0</v>
      </c>
      <c r="Q71" s="3"/>
      <c r="R71" s="3"/>
      <c r="S71" s="3"/>
    </row>
    <row r="72" spans="1:21" ht="14.25" customHeight="1">
      <c r="A72" s="270" t="s">
        <v>94</v>
      </c>
      <c r="B72" s="17" t="s">
        <v>89</v>
      </c>
      <c r="C72" s="158" t="s">
        <v>141</v>
      </c>
      <c r="D72" s="109">
        <v>-47.887905478031342</v>
      </c>
      <c r="E72" s="109">
        <v>-15.794087361891002</v>
      </c>
      <c r="F72" s="18">
        <v>2007</v>
      </c>
      <c r="G72" s="19" t="s">
        <v>90</v>
      </c>
      <c r="H72" s="17" t="s">
        <v>188</v>
      </c>
      <c r="I72" s="17" t="s">
        <v>91</v>
      </c>
      <c r="J72" s="158" t="s">
        <v>93</v>
      </c>
      <c r="K72" s="158">
        <v>600</v>
      </c>
      <c r="L72" s="10">
        <v>292</v>
      </c>
      <c r="M72" s="111" t="s">
        <v>50</v>
      </c>
      <c r="N72" s="158" t="s">
        <v>88</v>
      </c>
      <c r="O72" s="158">
        <f>(100+100+100+100)/4</f>
        <v>100</v>
      </c>
      <c r="P72" s="10">
        <v>0</v>
      </c>
      <c r="Q72" s="3"/>
      <c r="R72" s="3"/>
      <c r="S72" s="3"/>
    </row>
    <row r="73" spans="1:21" ht="14.25" customHeight="1">
      <c r="A73" s="270" t="s">
        <v>94</v>
      </c>
      <c r="B73" s="17" t="s">
        <v>89</v>
      </c>
      <c r="C73" s="158" t="s">
        <v>151</v>
      </c>
      <c r="D73" s="92">
        <v>-47.9</v>
      </c>
      <c r="E73" s="92">
        <v>-15.8</v>
      </c>
      <c r="F73" s="18">
        <v>2007</v>
      </c>
      <c r="G73" s="19" t="s">
        <v>90</v>
      </c>
      <c r="H73" s="17" t="s">
        <v>188</v>
      </c>
      <c r="I73" s="17" t="s">
        <v>91</v>
      </c>
      <c r="J73" s="158" t="s">
        <v>93</v>
      </c>
      <c r="K73" s="158">
        <v>750</v>
      </c>
      <c r="L73" s="10">
        <v>292</v>
      </c>
      <c r="M73" s="111" t="s">
        <v>50</v>
      </c>
      <c r="N73" s="158" t="s">
        <v>88</v>
      </c>
      <c r="O73" s="10">
        <f>(100+92.3+100+100+100)/5</f>
        <v>98.460000000000008</v>
      </c>
      <c r="P73" s="158">
        <v>1.1000000000000001</v>
      </c>
      <c r="Q73" s="3"/>
      <c r="R73" s="3"/>
      <c r="S73" s="3"/>
      <c r="U73" s="23"/>
    </row>
    <row r="74" spans="1:21" ht="14.25" customHeight="1">
      <c r="A74" s="270" t="s">
        <v>94</v>
      </c>
      <c r="B74" s="17" t="s">
        <v>89</v>
      </c>
      <c r="C74" s="158" t="s">
        <v>143</v>
      </c>
      <c r="D74" s="127">
        <v>-40.791594846362379</v>
      </c>
      <c r="E74" s="127">
        <v>-9.4708066384999352</v>
      </c>
      <c r="F74" s="18">
        <v>2007</v>
      </c>
      <c r="G74" s="19" t="s">
        <v>90</v>
      </c>
      <c r="H74" s="17" t="s">
        <v>188</v>
      </c>
      <c r="I74" s="17" t="s">
        <v>91</v>
      </c>
      <c r="J74" s="158" t="s">
        <v>93</v>
      </c>
      <c r="K74" s="158">
        <v>600</v>
      </c>
      <c r="L74" s="10">
        <v>292</v>
      </c>
      <c r="M74" s="111" t="s">
        <v>50</v>
      </c>
      <c r="N74" s="158" t="s">
        <v>88</v>
      </c>
      <c r="O74" s="5">
        <f>(100+100+100+100)/4</f>
        <v>100</v>
      </c>
      <c r="P74" s="10">
        <v>0</v>
      </c>
      <c r="Q74" s="3"/>
      <c r="R74" s="3"/>
      <c r="S74" s="3"/>
    </row>
    <row r="75" spans="1:21" ht="14.25" customHeight="1">
      <c r="A75" s="270" t="s">
        <v>94</v>
      </c>
      <c r="B75" s="17" t="s">
        <v>89</v>
      </c>
      <c r="C75" s="158" t="s">
        <v>145</v>
      </c>
      <c r="D75" s="158" t="s">
        <v>15</v>
      </c>
      <c r="E75" s="18">
        <v>-15.521407</v>
      </c>
      <c r="F75" s="18">
        <v>2007</v>
      </c>
      <c r="G75" s="19" t="s">
        <v>90</v>
      </c>
      <c r="H75" s="17" t="s">
        <v>188</v>
      </c>
      <c r="I75" s="17" t="s">
        <v>91</v>
      </c>
      <c r="J75" s="158" t="s">
        <v>93</v>
      </c>
      <c r="K75" s="158">
        <v>600</v>
      </c>
      <c r="L75" s="10">
        <v>292</v>
      </c>
      <c r="M75" s="111" t="s">
        <v>50</v>
      </c>
      <c r="N75" s="158" t="s">
        <v>88</v>
      </c>
      <c r="O75" s="17">
        <f>(100+100+100+100)/4</f>
        <v>100</v>
      </c>
      <c r="P75" s="10">
        <v>0</v>
      </c>
      <c r="Q75" s="3"/>
      <c r="R75" s="3"/>
      <c r="S75" s="3"/>
    </row>
    <row r="76" spans="1:21" ht="14.25" customHeight="1" thickBot="1">
      <c r="A76" s="11" t="s">
        <v>94</v>
      </c>
      <c r="B76" s="21" t="s">
        <v>89</v>
      </c>
      <c r="C76" s="11" t="s">
        <v>142</v>
      </c>
      <c r="D76" s="110">
        <v>-67.810528700423504</v>
      </c>
      <c r="E76" s="110">
        <v>-9.9782987527249833</v>
      </c>
      <c r="F76" s="21">
        <v>2007</v>
      </c>
      <c r="G76" s="22" t="s">
        <v>90</v>
      </c>
      <c r="H76" s="21" t="s">
        <v>188</v>
      </c>
      <c r="I76" s="21" t="s">
        <v>91</v>
      </c>
      <c r="J76" s="11" t="s">
        <v>93</v>
      </c>
      <c r="K76" s="11">
        <v>600</v>
      </c>
      <c r="L76" s="30">
        <v>292</v>
      </c>
      <c r="M76" s="114" t="s">
        <v>50</v>
      </c>
      <c r="N76" s="11" t="s">
        <v>88</v>
      </c>
      <c r="O76" s="25">
        <f>(100+100+99+100)/4</f>
        <v>99.75</v>
      </c>
      <c r="P76" s="11">
        <v>0.1</v>
      </c>
      <c r="Q76" s="3"/>
      <c r="R76" s="3"/>
      <c r="S76" s="3"/>
      <c r="U76" s="23"/>
    </row>
    <row r="77" spans="1:21" ht="14.25" customHeight="1">
      <c r="A77" s="270" t="s">
        <v>94</v>
      </c>
      <c r="B77" s="17" t="s">
        <v>89</v>
      </c>
      <c r="C77" s="8" t="s">
        <v>124</v>
      </c>
      <c r="D77" s="261"/>
      <c r="E77" s="262"/>
      <c r="F77" s="18">
        <v>2007</v>
      </c>
      <c r="G77" s="19" t="s">
        <v>90</v>
      </c>
      <c r="H77" s="17" t="s">
        <v>188</v>
      </c>
      <c r="I77" s="17" t="s">
        <v>91</v>
      </c>
      <c r="J77" s="18" t="s">
        <v>21</v>
      </c>
      <c r="K77" s="158">
        <v>600</v>
      </c>
      <c r="L77" s="10">
        <v>9</v>
      </c>
      <c r="M77" s="111" t="s">
        <v>50</v>
      </c>
      <c r="N77" s="158" t="s">
        <v>88</v>
      </c>
      <c r="O77" s="5">
        <v>100</v>
      </c>
      <c r="P77" s="10">
        <v>0</v>
      </c>
      <c r="Q77" s="3"/>
      <c r="R77" s="3"/>
      <c r="S77" s="3"/>
    </row>
    <row r="78" spans="1:21" ht="14.25" customHeight="1">
      <c r="A78" s="270" t="s">
        <v>94</v>
      </c>
      <c r="B78" s="17" t="s">
        <v>89</v>
      </c>
      <c r="C78" s="158" t="s">
        <v>100</v>
      </c>
      <c r="D78" s="109">
        <v>-50.439226072752582</v>
      </c>
      <c r="E78" s="109">
        <v>-21.205476000000004</v>
      </c>
      <c r="F78" s="18">
        <v>2007</v>
      </c>
      <c r="G78" s="19" t="s">
        <v>90</v>
      </c>
      <c r="H78" s="17" t="s">
        <v>188</v>
      </c>
      <c r="I78" s="17" t="s">
        <v>91</v>
      </c>
      <c r="J78" s="18" t="s">
        <v>21</v>
      </c>
      <c r="K78" s="138">
        <v>600</v>
      </c>
      <c r="L78" s="31">
        <v>18</v>
      </c>
      <c r="M78" s="111" t="s">
        <v>50</v>
      </c>
      <c r="N78" s="158" t="s">
        <v>88</v>
      </c>
      <c r="O78" s="273">
        <v>26.6</v>
      </c>
      <c r="P78" s="147">
        <v>21.596508205417535</v>
      </c>
      <c r="Q78" s="17"/>
      <c r="R78" s="17"/>
    </row>
    <row r="79" spans="1:21" ht="14.25" customHeight="1">
      <c r="A79" s="270" t="s">
        <v>94</v>
      </c>
      <c r="B79" s="17" t="s">
        <v>89</v>
      </c>
      <c r="C79" s="158" t="s">
        <v>104</v>
      </c>
      <c r="D79" s="109">
        <v>-48.441289384350434</v>
      </c>
      <c r="E79" s="109">
        <v>-22.888381500000008</v>
      </c>
      <c r="F79" s="18">
        <v>2007</v>
      </c>
      <c r="G79" s="19" t="s">
        <v>90</v>
      </c>
      <c r="H79" s="17" t="s">
        <v>188</v>
      </c>
      <c r="I79" s="17" t="s">
        <v>91</v>
      </c>
      <c r="J79" s="18" t="s">
        <v>21</v>
      </c>
      <c r="K79" s="138">
        <v>600</v>
      </c>
      <c r="L79" s="24">
        <v>18</v>
      </c>
      <c r="M79" s="111" t="s">
        <v>50</v>
      </c>
      <c r="N79" s="158" t="s">
        <v>88</v>
      </c>
      <c r="O79" s="273">
        <v>56.3</v>
      </c>
      <c r="P79" s="147">
        <v>9.842255838983327</v>
      </c>
      <c r="Q79" s="17"/>
      <c r="R79" s="17"/>
    </row>
    <row r="80" spans="1:21" ht="14.25" customHeight="1">
      <c r="A80" s="270" t="s">
        <v>94</v>
      </c>
      <c r="B80" s="17" t="s">
        <v>89</v>
      </c>
      <c r="C80" s="158" t="s">
        <v>107</v>
      </c>
      <c r="D80" s="109">
        <v>-49.951645643103269</v>
      </c>
      <c r="E80" s="109">
        <v>-22.214933000000002</v>
      </c>
      <c r="F80" s="18">
        <v>2007</v>
      </c>
      <c r="G80" s="19" t="s">
        <v>90</v>
      </c>
      <c r="H80" s="17" t="s">
        <v>188</v>
      </c>
      <c r="I80" s="17" t="s">
        <v>91</v>
      </c>
      <c r="J80" s="18" t="s">
        <v>21</v>
      </c>
      <c r="K80" s="138">
        <v>750</v>
      </c>
      <c r="L80" s="24">
        <v>18</v>
      </c>
      <c r="M80" s="111" t="s">
        <v>50</v>
      </c>
      <c r="N80" s="158" t="s">
        <v>88</v>
      </c>
      <c r="O80" s="273">
        <v>68.8</v>
      </c>
      <c r="P80" s="147">
        <v>12.945655641951829</v>
      </c>
      <c r="Q80" s="97"/>
      <c r="R80" s="97"/>
    </row>
    <row r="81" spans="1:18" ht="14.25" customHeight="1">
      <c r="A81" s="270" t="s">
        <v>94</v>
      </c>
      <c r="B81" s="17" t="s">
        <v>89</v>
      </c>
      <c r="C81" s="158" t="s">
        <v>108</v>
      </c>
      <c r="D81" s="109">
        <v>-51.386765581912492</v>
      </c>
      <c r="E81" s="109">
        <v>-22.122743500000002</v>
      </c>
      <c r="F81" s="18">
        <v>2007</v>
      </c>
      <c r="G81" s="19" t="s">
        <v>90</v>
      </c>
      <c r="H81" s="17" t="s">
        <v>188</v>
      </c>
      <c r="I81" s="17" t="s">
        <v>91</v>
      </c>
      <c r="J81" s="18" t="s">
        <v>21</v>
      </c>
      <c r="K81" s="138">
        <v>600</v>
      </c>
      <c r="L81" s="24">
        <v>18</v>
      </c>
      <c r="M81" s="111" t="s">
        <v>50</v>
      </c>
      <c r="N81" s="158" t="s">
        <v>88</v>
      </c>
      <c r="O81" s="273">
        <v>49.1</v>
      </c>
      <c r="P81" s="147">
        <v>24.027276166890022</v>
      </c>
      <c r="Q81" s="97"/>
      <c r="R81" s="97"/>
    </row>
    <row r="82" spans="1:18" ht="14.25" customHeight="1">
      <c r="A82" s="270" t="s">
        <v>94</v>
      </c>
      <c r="B82" s="17" t="s">
        <v>89</v>
      </c>
      <c r="C82" s="158" t="s">
        <v>109</v>
      </c>
      <c r="D82" s="109">
        <v>-47.805475915541528</v>
      </c>
      <c r="E82" s="109">
        <v>-21.184834500000004</v>
      </c>
      <c r="F82" s="18">
        <v>2007</v>
      </c>
      <c r="G82" s="19" t="s">
        <v>90</v>
      </c>
      <c r="H82" s="17" t="s">
        <v>188</v>
      </c>
      <c r="I82" s="17" t="s">
        <v>91</v>
      </c>
      <c r="J82" s="18" t="s">
        <v>21</v>
      </c>
      <c r="K82" s="138">
        <v>600</v>
      </c>
      <c r="L82" s="24">
        <v>18</v>
      </c>
      <c r="M82" s="111" t="s">
        <v>50</v>
      </c>
      <c r="N82" s="158" t="s">
        <v>88</v>
      </c>
      <c r="O82" s="273">
        <v>39</v>
      </c>
      <c r="P82" s="147">
        <v>15.521490478258407</v>
      </c>
      <c r="Q82" s="97"/>
      <c r="R82" s="97"/>
    </row>
    <row r="83" spans="1:18" ht="14.25" customHeight="1">
      <c r="A83" s="270" t="s">
        <v>94</v>
      </c>
      <c r="B83" s="17" t="s">
        <v>89</v>
      </c>
      <c r="C83" s="158" t="s">
        <v>110</v>
      </c>
      <c r="D83" s="109">
        <v>-46.331370849190684</v>
      </c>
      <c r="E83" s="109">
        <v>-23.933737500000003</v>
      </c>
      <c r="F83" s="18">
        <v>2007</v>
      </c>
      <c r="G83" s="19" t="s">
        <v>90</v>
      </c>
      <c r="H83" s="17" t="s">
        <v>188</v>
      </c>
      <c r="I83" s="17" t="s">
        <v>91</v>
      </c>
      <c r="J83" s="18" t="s">
        <v>21</v>
      </c>
      <c r="K83" s="138">
        <v>600</v>
      </c>
      <c r="L83" s="24">
        <v>18</v>
      </c>
      <c r="M83" s="111" t="s">
        <v>50</v>
      </c>
      <c r="N83" s="158" t="s">
        <v>88</v>
      </c>
      <c r="O83" s="273">
        <v>24.3</v>
      </c>
      <c r="P83" s="147">
        <v>19.987829630385921</v>
      </c>
      <c r="Q83" s="97"/>
      <c r="R83" s="97"/>
    </row>
    <row r="84" spans="1:18" ht="14.25" customHeight="1">
      <c r="A84" s="270" t="s">
        <v>94</v>
      </c>
      <c r="B84" s="17" t="s">
        <v>89</v>
      </c>
      <c r="C84" s="158" t="s">
        <v>131</v>
      </c>
      <c r="D84" s="109">
        <v>-49.381347685025794</v>
      </c>
      <c r="E84" s="109">
        <v>-20.812636500000004</v>
      </c>
      <c r="F84" s="18">
        <v>2007</v>
      </c>
      <c r="G84" s="19" t="s">
        <v>90</v>
      </c>
      <c r="H84" s="17" t="s">
        <v>188</v>
      </c>
      <c r="I84" s="17" t="s">
        <v>91</v>
      </c>
      <c r="J84" s="18" t="s">
        <v>21</v>
      </c>
      <c r="K84" s="138">
        <v>900</v>
      </c>
      <c r="L84" s="24">
        <v>18</v>
      </c>
      <c r="M84" s="111" t="s">
        <v>50</v>
      </c>
      <c r="N84" s="158" t="s">
        <v>88</v>
      </c>
      <c r="O84" s="273">
        <v>57</v>
      </c>
      <c r="P84" s="18">
        <v>28.6</v>
      </c>
      <c r="Q84" s="97"/>
      <c r="R84" s="81"/>
    </row>
    <row r="85" spans="1:18" ht="14.25" customHeight="1">
      <c r="A85" s="270" t="s">
        <v>94</v>
      </c>
      <c r="B85" s="17" t="s">
        <v>89</v>
      </c>
      <c r="C85" s="158" t="s">
        <v>113</v>
      </c>
      <c r="D85" s="109">
        <v>-36.551091902005247</v>
      </c>
      <c r="E85" s="109">
        <v>-9.9316573889236714</v>
      </c>
      <c r="F85" s="18">
        <v>2007</v>
      </c>
      <c r="G85" s="19" t="s">
        <v>90</v>
      </c>
      <c r="H85" s="17" t="s">
        <v>188</v>
      </c>
      <c r="I85" s="17" t="s">
        <v>91</v>
      </c>
      <c r="J85" s="18" t="s">
        <v>21</v>
      </c>
      <c r="K85" s="18">
        <v>750</v>
      </c>
      <c r="L85" s="24">
        <v>18</v>
      </c>
      <c r="M85" s="111" t="s">
        <v>50</v>
      </c>
      <c r="N85" s="158" t="s">
        <v>88</v>
      </c>
      <c r="O85" s="24">
        <v>46.7</v>
      </c>
      <c r="P85" s="27">
        <v>17.600000000000001</v>
      </c>
      <c r="Q85" s="97"/>
      <c r="R85" s="81"/>
    </row>
    <row r="86" spans="1:18" ht="14.25" customHeight="1">
      <c r="A86" s="270" t="s">
        <v>94</v>
      </c>
      <c r="B86" s="17" t="s">
        <v>89</v>
      </c>
      <c r="C86" s="158" t="s">
        <v>114</v>
      </c>
      <c r="D86" s="109">
        <v>-47.457853253204043</v>
      </c>
      <c r="E86" s="109">
        <v>-23.499323</v>
      </c>
      <c r="F86" s="18">
        <v>2007</v>
      </c>
      <c r="G86" s="19" t="s">
        <v>90</v>
      </c>
      <c r="H86" s="17" t="s">
        <v>188</v>
      </c>
      <c r="I86" s="17" t="s">
        <v>91</v>
      </c>
      <c r="J86" s="18" t="s">
        <v>21</v>
      </c>
      <c r="K86" s="18">
        <v>750</v>
      </c>
      <c r="L86" s="24">
        <v>18</v>
      </c>
      <c r="M86" s="111" t="s">
        <v>50</v>
      </c>
      <c r="N86" s="158" t="s">
        <v>88</v>
      </c>
      <c r="O86" s="24">
        <v>48.8</v>
      </c>
      <c r="P86" s="27">
        <v>16.899999999999999</v>
      </c>
      <c r="Q86" s="97"/>
      <c r="R86" s="81"/>
    </row>
    <row r="87" spans="1:18" ht="14.25" customHeight="1">
      <c r="A87" s="270" t="s">
        <v>94</v>
      </c>
      <c r="B87" s="17" t="s">
        <v>89</v>
      </c>
      <c r="C87" s="158" t="s">
        <v>141</v>
      </c>
      <c r="D87" s="109">
        <v>-47.887905478031342</v>
      </c>
      <c r="E87" s="109">
        <v>-15.794087361891002</v>
      </c>
      <c r="F87" s="18">
        <v>2007</v>
      </c>
      <c r="G87" s="19" t="s">
        <v>90</v>
      </c>
      <c r="H87" s="17" t="s">
        <v>188</v>
      </c>
      <c r="I87" s="17" t="s">
        <v>91</v>
      </c>
      <c r="J87" s="18" t="s">
        <v>21</v>
      </c>
      <c r="K87" s="18">
        <v>600</v>
      </c>
      <c r="L87" s="24">
        <v>18</v>
      </c>
      <c r="M87" s="111" t="s">
        <v>50</v>
      </c>
      <c r="N87" s="158" t="s">
        <v>88</v>
      </c>
      <c r="O87" s="24">
        <v>48.8</v>
      </c>
      <c r="P87" s="31">
        <v>20</v>
      </c>
      <c r="Q87" s="97"/>
      <c r="R87" s="81"/>
    </row>
    <row r="88" spans="1:18" ht="14.25" customHeight="1">
      <c r="A88" s="270" t="s">
        <v>94</v>
      </c>
      <c r="B88" s="17" t="s">
        <v>89</v>
      </c>
      <c r="C88" s="158" t="s">
        <v>151</v>
      </c>
      <c r="D88" s="92">
        <v>-47.9</v>
      </c>
      <c r="E88" s="92">
        <v>-15.8</v>
      </c>
      <c r="F88" s="18">
        <v>2007</v>
      </c>
      <c r="G88" s="19" t="s">
        <v>90</v>
      </c>
      <c r="H88" s="17" t="s">
        <v>188</v>
      </c>
      <c r="I88" s="17" t="s">
        <v>91</v>
      </c>
      <c r="J88" s="18" t="s">
        <v>21</v>
      </c>
      <c r="K88" s="18">
        <v>750</v>
      </c>
      <c r="L88" s="24">
        <v>18</v>
      </c>
      <c r="M88" s="111" t="s">
        <v>50</v>
      </c>
      <c r="N88" s="158" t="s">
        <v>88</v>
      </c>
      <c r="O88" s="24">
        <v>77.599999999999994</v>
      </c>
      <c r="P88" s="27">
        <v>18.399999999999999</v>
      </c>
      <c r="Q88" s="97"/>
      <c r="R88" s="81"/>
    </row>
    <row r="89" spans="1:18" ht="14.25" customHeight="1">
      <c r="A89" s="270" t="s">
        <v>94</v>
      </c>
      <c r="B89" s="17" t="s">
        <v>89</v>
      </c>
      <c r="C89" s="158" t="s">
        <v>143</v>
      </c>
      <c r="D89" s="127">
        <v>-40.791594846362379</v>
      </c>
      <c r="E89" s="127">
        <v>-9.4708066384999352</v>
      </c>
      <c r="F89" s="18">
        <v>2007</v>
      </c>
      <c r="G89" s="19" t="s">
        <v>90</v>
      </c>
      <c r="H89" s="17" t="s">
        <v>188</v>
      </c>
      <c r="I89" s="17" t="s">
        <v>91</v>
      </c>
      <c r="J89" s="18" t="s">
        <v>21</v>
      </c>
      <c r="K89" s="18">
        <v>600</v>
      </c>
      <c r="L89" s="24">
        <v>18</v>
      </c>
      <c r="M89" s="111" t="s">
        <v>50</v>
      </c>
      <c r="N89" s="158" t="s">
        <v>88</v>
      </c>
      <c r="O89" s="24">
        <v>63.5</v>
      </c>
      <c r="P89" s="27">
        <v>12.7</v>
      </c>
      <c r="Q89" s="97"/>
      <c r="R89" s="97"/>
    </row>
    <row r="90" spans="1:18" ht="14.25" customHeight="1">
      <c r="A90" s="270" t="s">
        <v>94</v>
      </c>
      <c r="B90" s="17" t="s">
        <v>89</v>
      </c>
      <c r="C90" s="158" t="s">
        <v>145</v>
      </c>
      <c r="D90" s="158" t="s">
        <v>15</v>
      </c>
      <c r="E90" s="18">
        <v>-15.521407</v>
      </c>
      <c r="F90" s="18">
        <v>2007</v>
      </c>
      <c r="G90" s="19" t="s">
        <v>90</v>
      </c>
      <c r="H90" s="17" t="s">
        <v>188</v>
      </c>
      <c r="I90" s="17" t="s">
        <v>91</v>
      </c>
      <c r="J90" s="18" t="s">
        <v>21</v>
      </c>
      <c r="K90" s="18">
        <v>600</v>
      </c>
      <c r="L90" s="24">
        <v>18</v>
      </c>
      <c r="M90" s="111" t="s">
        <v>50</v>
      </c>
      <c r="N90" s="158" t="s">
        <v>88</v>
      </c>
      <c r="O90" s="24">
        <v>89.4</v>
      </c>
      <c r="P90" s="27">
        <v>5.3</v>
      </c>
      <c r="Q90" s="97"/>
      <c r="R90" s="97"/>
    </row>
    <row r="91" spans="1:18" ht="14.25" customHeight="1" thickBot="1">
      <c r="A91" s="11" t="s">
        <v>94</v>
      </c>
      <c r="B91" s="21" t="s">
        <v>89</v>
      </c>
      <c r="C91" s="11" t="s">
        <v>142</v>
      </c>
      <c r="D91" s="110">
        <v>-67.810528700423504</v>
      </c>
      <c r="E91" s="110">
        <v>-9.9782987527249833</v>
      </c>
      <c r="F91" s="21">
        <v>2007</v>
      </c>
      <c r="G91" s="22" t="s">
        <v>90</v>
      </c>
      <c r="H91" s="21" t="s">
        <v>188</v>
      </c>
      <c r="I91" s="21" t="s">
        <v>91</v>
      </c>
      <c r="J91" s="21" t="s">
        <v>21</v>
      </c>
      <c r="K91" s="21">
        <v>750</v>
      </c>
      <c r="L91" s="25">
        <v>18</v>
      </c>
      <c r="M91" s="111" t="s">
        <v>50</v>
      </c>
      <c r="N91" s="11" t="s">
        <v>88</v>
      </c>
      <c r="O91" s="25">
        <v>96.6</v>
      </c>
      <c r="P91" s="11">
        <v>3.1</v>
      </c>
      <c r="Q91" s="97"/>
      <c r="R91" s="97"/>
    </row>
    <row r="92" spans="1:18" ht="14.25" customHeight="1">
      <c r="A92" s="270" t="s">
        <v>94</v>
      </c>
      <c r="B92" s="17" t="s">
        <v>89</v>
      </c>
      <c r="C92" s="17" t="s">
        <v>114</v>
      </c>
      <c r="D92" s="109">
        <v>-47.457853253204043</v>
      </c>
      <c r="E92" s="109">
        <v>-23.499323</v>
      </c>
      <c r="F92" s="18">
        <v>2007</v>
      </c>
      <c r="G92" s="19" t="s">
        <v>90</v>
      </c>
      <c r="H92" s="17" t="s">
        <v>188</v>
      </c>
      <c r="I92" s="17" t="s">
        <v>43</v>
      </c>
      <c r="J92" s="18" t="s">
        <v>21</v>
      </c>
      <c r="K92" s="1">
        <v>234</v>
      </c>
      <c r="L92" s="10">
        <v>5</v>
      </c>
      <c r="M92" s="34" t="s">
        <v>11</v>
      </c>
      <c r="N92" s="158" t="s">
        <v>38</v>
      </c>
      <c r="O92" s="158">
        <v>71.400000000000006</v>
      </c>
      <c r="Q92" s="97"/>
      <c r="R92" s="97"/>
    </row>
    <row r="93" spans="1:18" ht="14.25" customHeight="1">
      <c r="A93" s="270" t="s">
        <v>94</v>
      </c>
      <c r="B93" s="17" t="s">
        <v>89</v>
      </c>
      <c r="C93" s="17" t="s">
        <v>109</v>
      </c>
      <c r="D93" s="109">
        <v>-47.805475915541528</v>
      </c>
      <c r="E93" s="109">
        <v>-21.184834500000004</v>
      </c>
      <c r="F93" s="18">
        <v>2007</v>
      </c>
      <c r="G93" s="19" t="s">
        <v>90</v>
      </c>
      <c r="H93" s="17" t="s">
        <v>188</v>
      </c>
      <c r="I93" s="17" t="s">
        <v>43</v>
      </c>
      <c r="J93" s="18" t="s">
        <v>21</v>
      </c>
      <c r="K93" s="1">
        <v>247</v>
      </c>
      <c r="L93" s="10">
        <v>5</v>
      </c>
      <c r="M93" s="158" t="s">
        <v>11</v>
      </c>
      <c r="N93" s="158" t="s">
        <v>38</v>
      </c>
      <c r="O93" s="158">
        <v>73.099999999999994</v>
      </c>
      <c r="Q93" s="97"/>
      <c r="R93" s="97"/>
    </row>
    <row r="94" spans="1:18" ht="14.25" customHeight="1">
      <c r="A94" s="270" t="s">
        <v>94</v>
      </c>
      <c r="B94" s="17" t="s">
        <v>89</v>
      </c>
      <c r="C94" s="17" t="s">
        <v>108</v>
      </c>
      <c r="D94" s="109">
        <v>-51.386765581912492</v>
      </c>
      <c r="E94" s="109">
        <v>-22.122743500000002</v>
      </c>
      <c r="F94" s="18">
        <v>2007</v>
      </c>
      <c r="G94" s="19" t="s">
        <v>90</v>
      </c>
      <c r="H94" s="17" t="s">
        <v>188</v>
      </c>
      <c r="I94" s="17" t="s">
        <v>43</v>
      </c>
      <c r="J94" s="18" t="s">
        <v>21</v>
      </c>
      <c r="K94" s="2">
        <v>289</v>
      </c>
      <c r="L94" s="10">
        <v>5</v>
      </c>
      <c r="M94" s="158" t="s">
        <v>11</v>
      </c>
      <c r="N94" s="158" t="s">
        <v>38</v>
      </c>
      <c r="O94" s="158">
        <v>74.099999999999994</v>
      </c>
      <c r="Q94" s="97"/>
      <c r="R94" s="97"/>
    </row>
    <row r="95" spans="1:18" ht="14.25" customHeight="1">
      <c r="A95" s="270" t="s">
        <v>94</v>
      </c>
      <c r="B95" s="17" t="s">
        <v>89</v>
      </c>
      <c r="C95" s="17" t="s">
        <v>100</v>
      </c>
      <c r="D95" s="109">
        <v>-50.439226072752582</v>
      </c>
      <c r="E95" s="109">
        <v>-21.205476000000004</v>
      </c>
      <c r="F95" s="18">
        <v>2007</v>
      </c>
      <c r="G95" s="19" t="s">
        <v>90</v>
      </c>
      <c r="H95" s="17" t="s">
        <v>188</v>
      </c>
      <c r="I95" s="17" t="s">
        <v>43</v>
      </c>
      <c r="J95" s="18" t="s">
        <v>21</v>
      </c>
      <c r="K95" s="2">
        <v>288</v>
      </c>
      <c r="L95" s="10">
        <v>5</v>
      </c>
      <c r="M95" s="158" t="s">
        <v>11</v>
      </c>
      <c r="N95" s="158" t="s">
        <v>38</v>
      </c>
      <c r="O95" s="158">
        <v>77.8</v>
      </c>
      <c r="Q95" s="81"/>
      <c r="R95" s="97"/>
    </row>
    <row r="96" spans="1:18" ht="14.25" customHeight="1">
      <c r="A96" s="270" t="s">
        <v>94</v>
      </c>
      <c r="B96" s="17" t="s">
        <v>89</v>
      </c>
      <c r="C96" s="17" t="s">
        <v>104</v>
      </c>
      <c r="D96" s="109">
        <v>-48.441289384350434</v>
      </c>
      <c r="E96" s="109">
        <v>-22.888381500000008</v>
      </c>
      <c r="F96" s="18">
        <v>2007</v>
      </c>
      <c r="G96" s="19" t="s">
        <v>90</v>
      </c>
      <c r="H96" s="17" t="s">
        <v>188</v>
      </c>
      <c r="I96" s="17" t="s">
        <v>43</v>
      </c>
      <c r="J96" s="18" t="s">
        <v>21</v>
      </c>
      <c r="K96" s="2">
        <v>288</v>
      </c>
      <c r="L96" s="10">
        <v>5</v>
      </c>
      <c r="M96" s="158" t="s">
        <v>11</v>
      </c>
      <c r="N96" s="158" t="s">
        <v>38</v>
      </c>
      <c r="O96" s="10">
        <v>80</v>
      </c>
      <c r="Q96" s="82"/>
      <c r="R96" s="1"/>
    </row>
    <row r="97" spans="1:19" ht="14.25" customHeight="1">
      <c r="A97" s="270" t="s">
        <v>94</v>
      </c>
      <c r="B97" s="17" t="s">
        <v>89</v>
      </c>
      <c r="C97" s="17" t="s">
        <v>110</v>
      </c>
      <c r="D97" s="109">
        <v>-46.331370849190684</v>
      </c>
      <c r="E97" s="109">
        <v>-23.933737500000003</v>
      </c>
      <c r="F97" s="18">
        <v>2007</v>
      </c>
      <c r="G97" s="19" t="s">
        <v>90</v>
      </c>
      <c r="H97" s="17" t="s">
        <v>188</v>
      </c>
      <c r="I97" s="17" t="s">
        <v>43</v>
      </c>
      <c r="J97" s="18" t="s">
        <v>21</v>
      </c>
      <c r="K97" s="2">
        <v>301</v>
      </c>
      <c r="L97" s="10">
        <v>5</v>
      </c>
      <c r="M97" s="158" t="s">
        <v>11</v>
      </c>
      <c r="N97" s="158" t="s">
        <v>38</v>
      </c>
      <c r="O97" s="158">
        <v>81.400000000000006</v>
      </c>
      <c r="Q97" s="97"/>
      <c r="R97" s="1"/>
    </row>
    <row r="98" spans="1:19" ht="14.25" customHeight="1">
      <c r="A98" s="270" t="s">
        <v>94</v>
      </c>
      <c r="B98" s="17" t="s">
        <v>89</v>
      </c>
      <c r="C98" s="17" t="s">
        <v>113</v>
      </c>
      <c r="D98" s="109">
        <v>-36.551091902005247</v>
      </c>
      <c r="E98" s="109">
        <v>-9.9316573889236714</v>
      </c>
      <c r="F98" s="18">
        <v>2007</v>
      </c>
      <c r="G98" s="19" t="s">
        <v>90</v>
      </c>
      <c r="H98" s="17" t="s">
        <v>188</v>
      </c>
      <c r="I98" s="17" t="s">
        <v>43</v>
      </c>
      <c r="J98" s="18" t="s">
        <v>21</v>
      </c>
      <c r="K98" s="2">
        <v>297</v>
      </c>
      <c r="L98" s="10">
        <v>5</v>
      </c>
      <c r="M98" s="158" t="s">
        <v>11</v>
      </c>
      <c r="N98" s="158" t="s">
        <v>38</v>
      </c>
      <c r="O98" s="158">
        <v>86.4</v>
      </c>
      <c r="Q98" s="1"/>
      <c r="R98" s="1"/>
      <c r="S98" s="2"/>
    </row>
    <row r="99" spans="1:19" ht="14.25" customHeight="1">
      <c r="A99" s="270" t="s">
        <v>94</v>
      </c>
      <c r="B99" s="17" t="s">
        <v>89</v>
      </c>
      <c r="C99" s="17" t="s">
        <v>131</v>
      </c>
      <c r="D99" s="109">
        <v>-49.381347685025794</v>
      </c>
      <c r="E99" s="109">
        <v>-20.812636500000004</v>
      </c>
      <c r="F99" s="18">
        <v>2007</v>
      </c>
      <c r="G99" s="19" t="s">
        <v>90</v>
      </c>
      <c r="H99" s="17" t="s">
        <v>188</v>
      </c>
      <c r="I99" s="17" t="s">
        <v>43</v>
      </c>
      <c r="J99" s="18" t="s">
        <v>21</v>
      </c>
      <c r="K99" s="2">
        <v>244</v>
      </c>
      <c r="L99" s="10">
        <v>5</v>
      </c>
      <c r="M99" s="158" t="s">
        <v>11</v>
      </c>
      <c r="N99" s="158" t="s">
        <v>38</v>
      </c>
      <c r="O99" s="10">
        <v>90.9</v>
      </c>
    </row>
    <row r="100" spans="1:19" ht="14.25" customHeight="1">
      <c r="A100" s="270" t="s">
        <v>94</v>
      </c>
      <c r="B100" s="17" t="s">
        <v>89</v>
      </c>
      <c r="C100" s="17" t="s">
        <v>107</v>
      </c>
      <c r="D100" s="109">
        <v>-49.951645643103269</v>
      </c>
      <c r="E100" s="109">
        <v>-22.214933000000002</v>
      </c>
      <c r="F100" s="18">
        <v>2007</v>
      </c>
      <c r="G100" s="19" t="s">
        <v>90</v>
      </c>
      <c r="H100" s="17" t="s">
        <v>188</v>
      </c>
      <c r="I100" s="17" t="s">
        <v>43</v>
      </c>
      <c r="J100" s="18" t="s">
        <v>21</v>
      </c>
      <c r="K100" s="2">
        <v>309</v>
      </c>
      <c r="L100" s="10">
        <v>5</v>
      </c>
      <c r="M100" s="158" t="s">
        <v>11</v>
      </c>
      <c r="N100" s="158" t="s">
        <v>38</v>
      </c>
      <c r="O100" s="10">
        <v>97</v>
      </c>
    </row>
    <row r="101" spans="1:19" ht="14.25" customHeight="1">
      <c r="A101" s="270" t="s">
        <v>94</v>
      </c>
      <c r="B101" s="17" t="s">
        <v>89</v>
      </c>
      <c r="C101" s="158" t="s">
        <v>151</v>
      </c>
      <c r="D101" s="92">
        <v>-47.9</v>
      </c>
      <c r="E101" s="92">
        <v>-15.8</v>
      </c>
      <c r="F101" s="18">
        <v>2007</v>
      </c>
      <c r="G101" s="19" t="s">
        <v>90</v>
      </c>
      <c r="H101" s="17" t="s">
        <v>188</v>
      </c>
      <c r="I101" s="17" t="s">
        <v>43</v>
      </c>
      <c r="J101" s="18" t="s">
        <v>21</v>
      </c>
      <c r="K101" s="1">
        <v>250</v>
      </c>
      <c r="L101" s="10">
        <v>5</v>
      </c>
      <c r="M101" s="158" t="s">
        <v>11</v>
      </c>
      <c r="N101" s="158" t="s">
        <v>38</v>
      </c>
      <c r="O101" s="79">
        <v>100</v>
      </c>
    </row>
    <row r="102" spans="1:19" ht="14.25" customHeight="1">
      <c r="A102" s="270" t="s">
        <v>94</v>
      </c>
      <c r="B102" s="17" t="s">
        <v>89</v>
      </c>
      <c r="C102" s="158" t="s">
        <v>143</v>
      </c>
      <c r="D102" s="127">
        <v>-40.791594846362379</v>
      </c>
      <c r="E102" s="127">
        <v>-9.4708066384999352</v>
      </c>
      <c r="F102" s="18">
        <v>2007</v>
      </c>
      <c r="G102" s="19" t="s">
        <v>90</v>
      </c>
      <c r="H102" s="17" t="s">
        <v>188</v>
      </c>
      <c r="I102" s="17" t="s">
        <v>43</v>
      </c>
      <c r="J102" s="18" t="s">
        <v>21</v>
      </c>
      <c r="K102" s="1">
        <v>270</v>
      </c>
      <c r="L102" s="10">
        <v>5</v>
      </c>
      <c r="M102" s="158" t="s">
        <v>11</v>
      </c>
      <c r="N102" s="158" t="s">
        <v>38</v>
      </c>
      <c r="O102" s="79">
        <v>95.2</v>
      </c>
    </row>
    <row r="103" spans="1:19" ht="14.25" customHeight="1">
      <c r="A103" s="270" t="s">
        <v>94</v>
      </c>
      <c r="B103" s="17" t="s">
        <v>89</v>
      </c>
      <c r="C103" s="158" t="s">
        <v>142</v>
      </c>
      <c r="D103" s="127">
        <v>-67.810528700423504</v>
      </c>
      <c r="E103" s="127">
        <v>-9.9782987527249833</v>
      </c>
      <c r="F103" s="18">
        <v>2007</v>
      </c>
      <c r="G103" s="19" t="s">
        <v>90</v>
      </c>
      <c r="H103" s="17" t="s">
        <v>188</v>
      </c>
      <c r="I103" s="17" t="s">
        <v>43</v>
      </c>
      <c r="J103" s="18" t="s">
        <v>21</v>
      </c>
      <c r="K103" s="79">
        <v>284</v>
      </c>
      <c r="L103" s="10">
        <v>5</v>
      </c>
      <c r="M103" s="158" t="s">
        <v>11</v>
      </c>
      <c r="N103" s="158" t="s">
        <v>38</v>
      </c>
      <c r="O103" s="79">
        <v>98.2</v>
      </c>
    </row>
    <row r="104" spans="1:19" ht="14.25" customHeight="1">
      <c r="A104" s="270" t="s">
        <v>94</v>
      </c>
      <c r="B104" s="17" t="s">
        <v>89</v>
      </c>
      <c r="C104" s="158" t="s">
        <v>145</v>
      </c>
      <c r="D104" s="158" t="s">
        <v>15</v>
      </c>
      <c r="E104" s="17">
        <v>-15.521407</v>
      </c>
      <c r="F104" s="18">
        <v>2007</v>
      </c>
      <c r="G104" s="19" t="s">
        <v>90</v>
      </c>
      <c r="H104" s="17" t="s">
        <v>188</v>
      </c>
      <c r="I104" s="17" t="s">
        <v>43</v>
      </c>
      <c r="J104" s="18" t="s">
        <v>21</v>
      </c>
      <c r="K104" s="79">
        <v>298</v>
      </c>
      <c r="L104" s="10">
        <v>5</v>
      </c>
      <c r="M104" s="158" t="s">
        <v>11</v>
      </c>
      <c r="N104" s="158" t="s">
        <v>38</v>
      </c>
      <c r="O104" s="79">
        <v>100</v>
      </c>
    </row>
    <row r="105" spans="1:19" ht="14.25" customHeight="1" thickBot="1">
      <c r="A105" s="11" t="s">
        <v>94</v>
      </c>
      <c r="B105" s="21" t="s">
        <v>89</v>
      </c>
      <c r="C105" s="263" t="s">
        <v>124</v>
      </c>
      <c r="D105" s="264"/>
      <c r="E105" s="265"/>
      <c r="F105" s="21">
        <v>2007</v>
      </c>
      <c r="G105" s="22" t="s">
        <v>90</v>
      </c>
      <c r="H105" s="21" t="s">
        <v>188</v>
      </c>
      <c r="I105" s="21" t="s">
        <v>43</v>
      </c>
      <c r="J105" s="21" t="s">
        <v>21</v>
      </c>
      <c r="K105" s="49">
        <v>342</v>
      </c>
      <c r="L105" s="30">
        <v>5</v>
      </c>
      <c r="M105" s="11" t="s">
        <v>11</v>
      </c>
      <c r="N105" s="11" t="s">
        <v>38</v>
      </c>
      <c r="O105" s="103">
        <v>100</v>
      </c>
      <c r="P105" s="21"/>
    </row>
    <row r="106" spans="1:19" ht="14.25" customHeight="1">
      <c r="A106" s="270" t="s">
        <v>94</v>
      </c>
      <c r="B106" s="17" t="s">
        <v>89</v>
      </c>
      <c r="C106" s="17" t="s">
        <v>114</v>
      </c>
      <c r="D106" s="109">
        <v>-47.457853253204043</v>
      </c>
      <c r="E106" s="109">
        <v>-23.499323</v>
      </c>
      <c r="F106" s="17">
        <v>2007</v>
      </c>
      <c r="G106" s="19" t="s">
        <v>90</v>
      </c>
      <c r="H106" s="17" t="s">
        <v>188</v>
      </c>
      <c r="I106" s="17" t="s">
        <v>43</v>
      </c>
      <c r="J106" s="17" t="s">
        <v>20</v>
      </c>
      <c r="K106" s="1">
        <v>234</v>
      </c>
      <c r="L106" s="10">
        <v>8</v>
      </c>
      <c r="M106" s="158" t="s">
        <v>11</v>
      </c>
      <c r="N106" s="158" t="s">
        <v>37</v>
      </c>
      <c r="O106" s="79">
        <v>71.400000000000006</v>
      </c>
      <c r="Q106" s="97"/>
      <c r="R106" s="97"/>
    </row>
    <row r="107" spans="1:19" ht="14.25" customHeight="1">
      <c r="A107" s="270" t="s">
        <v>94</v>
      </c>
      <c r="B107" s="17" t="s">
        <v>89</v>
      </c>
      <c r="C107" s="17" t="s">
        <v>109</v>
      </c>
      <c r="D107" s="109">
        <v>-47.805475915541528</v>
      </c>
      <c r="E107" s="109">
        <v>-21.184834500000004</v>
      </c>
      <c r="F107" s="17">
        <v>2007</v>
      </c>
      <c r="G107" s="19" t="s">
        <v>90</v>
      </c>
      <c r="H107" s="17" t="s">
        <v>188</v>
      </c>
      <c r="I107" s="17" t="s">
        <v>43</v>
      </c>
      <c r="J107" s="17" t="s">
        <v>20</v>
      </c>
      <c r="K107" s="1">
        <v>247</v>
      </c>
      <c r="L107" s="10">
        <v>8</v>
      </c>
      <c r="M107" s="158" t="s">
        <v>11</v>
      </c>
      <c r="N107" s="158" t="s">
        <v>37</v>
      </c>
      <c r="O107" s="77">
        <v>73.099999999999994</v>
      </c>
      <c r="Q107" s="288"/>
      <c r="R107" s="288"/>
    </row>
    <row r="108" spans="1:19" ht="14.25" customHeight="1">
      <c r="A108" s="270" t="s">
        <v>94</v>
      </c>
      <c r="B108" s="17" t="s">
        <v>89</v>
      </c>
      <c r="C108" s="17" t="s">
        <v>108</v>
      </c>
      <c r="D108" s="109">
        <v>-51.386765581912492</v>
      </c>
      <c r="E108" s="109">
        <v>-22.122743500000002</v>
      </c>
      <c r="F108" s="17">
        <v>2007</v>
      </c>
      <c r="G108" s="19" t="s">
        <v>90</v>
      </c>
      <c r="H108" s="17" t="s">
        <v>188</v>
      </c>
      <c r="I108" s="17" t="s">
        <v>43</v>
      </c>
      <c r="J108" s="17" t="s">
        <v>20</v>
      </c>
      <c r="K108" s="1">
        <v>538</v>
      </c>
      <c r="L108" s="10">
        <v>8</v>
      </c>
      <c r="M108" s="158" t="s">
        <v>11</v>
      </c>
      <c r="N108" s="158" t="s">
        <v>37</v>
      </c>
      <c r="O108" s="158">
        <v>79.2</v>
      </c>
      <c r="Q108" s="288"/>
      <c r="R108" s="288"/>
    </row>
    <row r="109" spans="1:19" ht="14.25" customHeight="1">
      <c r="A109" s="270" t="s">
        <v>94</v>
      </c>
      <c r="B109" s="17" t="s">
        <v>89</v>
      </c>
      <c r="C109" s="17" t="s">
        <v>100</v>
      </c>
      <c r="D109" s="109">
        <v>-50.439226072752582</v>
      </c>
      <c r="E109" s="109">
        <v>-21.205476000000004</v>
      </c>
      <c r="F109" s="18">
        <v>2007</v>
      </c>
      <c r="G109" s="19" t="s">
        <v>90</v>
      </c>
      <c r="H109" s="17" t="s">
        <v>188</v>
      </c>
      <c r="I109" s="17" t="s">
        <v>43</v>
      </c>
      <c r="J109" s="17" t="s">
        <v>20</v>
      </c>
      <c r="K109" s="1">
        <v>393</v>
      </c>
      <c r="L109" s="10">
        <v>8</v>
      </c>
      <c r="M109" s="158" t="s">
        <v>11</v>
      </c>
      <c r="N109" s="158" t="s">
        <v>37</v>
      </c>
      <c r="O109" s="79">
        <v>85.9</v>
      </c>
    </row>
    <row r="110" spans="1:19" ht="14.25" customHeight="1">
      <c r="A110" s="270" t="s">
        <v>94</v>
      </c>
      <c r="B110" s="17" t="s">
        <v>89</v>
      </c>
      <c r="C110" s="17" t="s">
        <v>104</v>
      </c>
      <c r="D110" s="109">
        <v>-48.441289384350434</v>
      </c>
      <c r="E110" s="109">
        <v>-22.888381500000008</v>
      </c>
      <c r="F110" s="18">
        <v>2007</v>
      </c>
      <c r="G110" s="19" t="s">
        <v>90</v>
      </c>
      <c r="H110" s="17" t="s">
        <v>188</v>
      </c>
      <c r="I110" s="17" t="s">
        <v>43</v>
      </c>
      <c r="J110" s="17" t="s">
        <v>20</v>
      </c>
      <c r="K110" s="1">
        <v>288</v>
      </c>
      <c r="L110" s="10">
        <v>8</v>
      </c>
      <c r="M110" s="158" t="s">
        <v>11</v>
      </c>
      <c r="N110" s="158" t="s">
        <v>37</v>
      </c>
      <c r="O110" s="84">
        <v>80</v>
      </c>
      <c r="Q110" s="158"/>
      <c r="R110" s="158"/>
    </row>
    <row r="111" spans="1:19" ht="14.25" customHeight="1">
      <c r="A111" s="270" t="s">
        <v>94</v>
      </c>
      <c r="B111" s="17" t="s">
        <v>89</v>
      </c>
      <c r="C111" s="17" t="s">
        <v>110</v>
      </c>
      <c r="D111" s="109">
        <v>-46.331370849190684</v>
      </c>
      <c r="E111" s="109">
        <v>-23.933737500000003</v>
      </c>
      <c r="F111" s="18">
        <v>2007</v>
      </c>
      <c r="G111" s="19" t="s">
        <v>90</v>
      </c>
      <c r="H111" s="17" t="s">
        <v>188</v>
      </c>
      <c r="I111" s="17" t="s">
        <v>43</v>
      </c>
      <c r="J111" s="17" t="s">
        <v>20</v>
      </c>
      <c r="K111" s="1">
        <v>519</v>
      </c>
      <c r="L111" s="10">
        <v>8</v>
      </c>
      <c r="M111" s="158" t="s">
        <v>11</v>
      </c>
      <c r="N111" s="158" t="s">
        <v>37</v>
      </c>
      <c r="O111" s="79">
        <v>74.3</v>
      </c>
    </row>
    <row r="112" spans="1:19" ht="14.25" customHeight="1">
      <c r="A112" s="270" t="s">
        <v>94</v>
      </c>
      <c r="B112" s="17" t="s">
        <v>89</v>
      </c>
      <c r="C112" s="17" t="s">
        <v>113</v>
      </c>
      <c r="D112" s="109">
        <v>-36.551091902005247</v>
      </c>
      <c r="E112" s="109">
        <v>-9.9316573889236714</v>
      </c>
      <c r="F112" s="18">
        <v>2007</v>
      </c>
      <c r="G112" s="19" t="s">
        <v>90</v>
      </c>
      <c r="H112" s="17" t="s">
        <v>188</v>
      </c>
      <c r="I112" s="17" t="s">
        <v>43</v>
      </c>
      <c r="J112" s="17" t="s">
        <v>20</v>
      </c>
      <c r="K112" s="1">
        <v>538</v>
      </c>
      <c r="L112" s="10">
        <v>8</v>
      </c>
      <c r="M112" s="158" t="s">
        <v>11</v>
      </c>
      <c r="N112" s="158" t="s">
        <v>37</v>
      </c>
      <c r="O112" s="79">
        <v>82.4</v>
      </c>
      <c r="S112" s="2"/>
    </row>
    <row r="113" spans="1:18" ht="14.25" customHeight="1">
      <c r="A113" s="270" t="s">
        <v>94</v>
      </c>
      <c r="B113" s="17" t="s">
        <v>89</v>
      </c>
      <c r="C113" s="17" t="s">
        <v>131</v>
      </c>
      <c r="D113" s="109">
        <v>-49.381347685025794</v>
      </c>
      <c r="E113" s="109">
        <v>-20.812636500000004</v>
      </c>
      <c r="F113" s="18">
        <v>2007</v>
      </c>
      <c r="G113" s="19" t="s">
        <v>90</v>
      </c>
      <c r="H113" s="17" t="s">
        <v>188</v>
      </c>
      <c r="I113" s="17" t="s">
        <v>43</v>
      </c>
      <c r="J113" s="17" t="s">
        <v>20</v>
      </c>
      <c r="K113" s="1">
        <v>411</v>
      </c>
      <c r="L113" s="10">
        <v>8</v>
      </c>
      <c r="M113" s="158" t="s">
        <v>11</v>
      </c>
      <c r="N113" s="158" t="s">
        <v>37</v>
      </c>
      <c r="O113" s="10">
        <v>88.9</v>
      </c>
    </row>
    <row r="114" spans="1:18" ht="14.25" customHeight="1">
      <c r="A114" s="270" t="s">
        <v>94</v>
      </c>
      <c r="B114" s="17" t="s">
        <v>89</v>
      </c>
      <c r="C114" s="17" t="s">
        <v>107</v>
      </c>
      <c r="D114" s="109">
        <v>-49.951645643103269</v>
      </c>
      <c r="E114" s="109">
        <v>-22.214933000000002</v>
      </c>
      <c r="F114" s="18">
        <v>2007</v>
      </c>
      <c r="G114" s="19" t="s">
        <v>90</v>
      </c>
      <c r="H114" s="17" t="s">
        <v>188</v>
      </c>
      <c r="I114" s="17" t="s">
        <v>43</v>
      </c>
      <c r="J114" s="17" t="s">
        <v>20</v>
      </c>
      <c r="K114" s="1">
        <v>549</v>
      </c>
      <c r="L114" s="10">
        <v>8</v>
      </c>
      <c r="M114" s="158" t="s">
        <v>11</v>
      </c>
      <c r="N114" s="158" t="s">
        <v>37</v>
      </c>
      <c r="O114" s="84">
        <v>96.3</v>
      </c>
    </row>
    <row r="115" spans="1:18" ht="14.25" customHeight="1">
      <c r="A115" s="270" t="s">
        <v>94</v>
      </c>
      <c r="B115" s="17" t="s">
        <v>89</v>
      </c>
      <c r="C115" s="158" t="s">
        <v>141</v>
      </c>
      <c r="D115" s="92">
        <v>-47.887905478031342</v>
      </c>
      <c r="E115" s="92">
        <v>-15.794087361891002</v>
      </c>
      <c r="F115" s="18">
        <v>2007</v>
      </c>
      <c r="G115" s="19" t="s">
        <v>90</v>
      </c>
      <c r="H115" s="17" t="s">
        <v>188</v>
      </c>
      <c r="I115" s="17" t="s">
        <v>43</v>
      </c>
      <c r="J115" s="17" t="s">
        <v>20</v>
      </c>
      <c r="K115" s="1">
        <v>225</v>
      </c>
      <c r="L115" s="10">
        <v>8</v>
      </c>
      <c r="M115" s="158" t="s">
        <v>11</v>
      </c>
      <c r="N115" s="158" t="s">
        <v>37</v>
      </c>
      <c r="O115" s="1">
        <v>93.1</v>
      </c>
      <c r="Q115" s="17"/>
      <c r="R115" s="17"/>
    </row>
    <row r="116" spans="1:18" ht="14.25" customHeight="1">
      <c r="A116" s="270" t="s">
        <v>94</v>
      </c>
      <c r="B116" s="17" t="s">
        <v>89</v>
      </c>
      <c r="C116" s="158" t="s">
        <v>143</v>
      </c>
      <c r="D116" s="127">
        <v>-40.791594846362379</v>
      </c>
      <c r="E116" s="127">
        <v>-9.4708066384999352</v>
      </c>
      <c r="F116" s="18">
        <v>2007</v>
      </c>
      <c r="G116" s="19" t="s">
        <v>90</v>
      </c>
      <c r="H116" s="17" t="s">
        <v>188</v>
      </c>
      <c r="I116" s="17" t="s">
        <v>43</v>
      </c>
      <c r="J116" s="17" t="s">
        <v>20</v>
      </c>
      <c r="K116" s="1">
        <v>315</v>
      </c>
      <c r="L116" s="10">
        <v>8</v>
      </c>
      <c r="M116" s="158" t="s">
        <v>11</v>
      </c>
      <c r="N116" s="158" t="s">
        <v>37</v>
      </c>
      <c r="O116" s="79">
        <v>96.2</v>
      </c>
    </row>
    <row r="117" spans="1:18" ht="14.25" customHeight="1">
      <c r="A117" s="270" t="s">
        <v>94</v>
      </c>
      <c r="B117" s="17" t="s">
        <v>89</v>
      </c>
      <c r="C117" s="158" t="s">
        <v>151</v>
      </c>
      <c r="D117" s="109">
        <v>-47.9</v>
      </c>
      <c r="E117" s="127">
        <v>-15.8</v>
      </c>
      <c r="F117" s="18">
        <v>2007</v>
      </c>
      <c r="G117" s="19" t="s">
        <v>90</v>
      </c>
      <c r="H117" s="17" t="s">
        <v>188</v>
      </c>
      <c r="I117" s="17" t="s">
        <v>43</v>
      </c>
      <c r="J117" s="17" t="s">
        <v>20</v>
      </c>
      <c r="K117" s="1">
        <v>250</v>
      </c>
      <c r="L117" s="10">
        <v>8</v>
      </c>
      <c r="M117" s="158" t="s">
        <v>11</v>
      </c>
      <c r="N117" s="158" t="s">
        <v>37</v>
      </c>
      <c r="O117" s="79">
        <v>100</v>
      </c>
    </row>
    <row r="118" spans="1:18" ht="14.25" customHeight="1" thickBot="1">
      <c r="A118" s="11" t="s">
        <v>94</v>
      </c>
      <c r="B118" s="21" t="s">
        <v>89</v>
      </c>
      <c r="C118" s="263" t="s">
        <v>124</v>
      </c>
      <c r="D118" s="264"/>
      <c r="E118" s="265"/>
      <c r="F118" s="21">
        <v>2007</v>
      </c>
      <c r="G118" s="22" t="s">
        <v>90</v>
      </c>
      <c r="H118" s="21" t="s">
        <v>188</v>
      </c>
      <c r="I118" s="21" t="s">
        <v>43</v>
      </c>
      <c r="J118" s="21" t="s">
        <v>20</v>
      </c>
      <c r="K118" s="49">
        <v>342</v>
      </c>
      <c r="L118" s="30">
        <v>8</v>
      </c>
      <c r="M118" s="11" t="s">
        <v>11</v>
      </c>
      <c r="N118" s="11" t="s">
        <v>37</v>
      </c>
      <c r="O118" s="103">
        <v>100</v>
      </c>
      <c r="P118" s="21"/>
      <c r="Q118" s="17"/>
      <c r="R118" s="17"/>
    </row>
    <row r="119" spans="1:18" ht="14.25" customHeight="1">
      <c r="A119" s="270" t="s">
        <v>94</v>
      </c>
      <c r="B119" s="17" t="s">
        <v>89</v>
      </c>
      <c r="C119" s="227" t="s">
        <v>124</v>
      </c>
      <c r="D119" s="266"/>
      <c r="E119" s="267"/>
      <c r="F119" s="18">
        <v>2007</v>
      </c>
      <c r="G119" s="19" t="s">
        <v>90</v>
      </c>
      <c r="H119" s="17" t="s">
        <v>188</v>
      </c>
      <c r="I119" s="17" t="s">
        <v>43</v>
      </c>
      <c r="J119" s="18" t="s">
        <v>93</v>
      </c>
      <c r="K119" s="18">
        <v>300</v>
      </c>
      <c r="L119" s="24">
        <v>236</v>
      </c>
      <c r="M119" s="158" t="s">
        <v>11</v>
      </c>
      <c r="N119" s="18" t="s">
        <v>38</v>
      </c>
      <c r="O119" s="18">
        <v>100</v>
      </c>
      <c r="Q119" s="1"/>
      <c r="R119" s="1"/>
    </row>
    <row r="120" spans="1:18" ht="14.25" customHeight="1">
      <c r="A120" s="270" t="s">
        <v>94</v>
      </c>
      <c r="B120" s="17" t="s">
        <v>89</v>
      </c>
      <c r="C120" s="2" t="s">
        <v>100</v>
      </c>
      <c r="D120" s="155">
        <v>-50.439226072752582</v>
      </c>
      <c r="E120" s="155">
        <v>-21.205476000000004</v>
      </c>
      <c r="F120" s="18">
        <v>2007</v>
      </c>
      <c r="G120" s="19" t="s">
        <v>90</v>
      </c>
      <c r="H120" s="17" t="s">
        <v>188</v>
      </c>
      <c r="I120" s="17" t="s">
        <v>43</v>
      </c>
      <c r="J120" s="17" t="s">
        <v>93</v>
      </c>
      <c r="K120" s="18">
        <v>240</v>
      </c>
      <c r="L120" s="28">
        <v>236</v>
      </c>
      <c r="M120" s="158" t="s">
        <v>11</v>
      </c>
      <c r="N120" s="17" t="s">
        <v>38</v>
      </c>
      <c r="O120" s="18">
        <v>100</v>
      </c>
      <c r="P120" s="1"/>
      <c r="Q120" s="1"/>
      <c r="R120" s="17"/>
    </row>
    <row r="121" spans="1:18" ht="14.25" customHeight="1">
      <c r="A121" s="270" t="s">
        <v>94</v>
      </c>
      <c r="B121" s="17" t="s">
        <v>89</v>
      </c>
      <c r="C121" s="2" t="s">
        <v>104</v>
      </c>
      <c r="D121" s="155">
        <v>-48.441289384350434</v>
      </c>
      <c r="E121" s="155">
        <v>-22.888381500000008</v>
      </c>
      <c r="F121" s="18">
        <v>2007</v>
      </c>
      <c r="G121" s="19" t="s">
        <v>90</v>
      </c>
      <c r="H121" s="17" t="s">
        <v>188</v>
      </c>
      <c r="I121" s="17" t="s">
        <v>43</v>
      </c>
      <c r="J121" s="17" t="s">
        <v>93</v>
      </c>
      <c r="K121" s="18">
        <v>240</v>
      </c>
      <c r="L121" s="28">
        <v>236</v>
      </c>
      <c r="M121" s="158" t="s">
        <v>11</v>
      </c>
      <c r="N121" s="17" t="s">
        <v>38</v>
      </c>
      <c r="O121" s="18">
        <v>99.6</v>
      </c>
      <c r="P121" s="1"/>
      <c r="Q121" s="1"/>
      <c r="R121" s="17"/>
    </row>
    <row r="122" spans="1:18" ht="14.25" customHeight="1">
      <c r="A122" s="270" t="s">
        <v>94</v>
      </c>
      <c r="B122" s="17" t="s">
        <v>89</v>
      </c>
      <c r="C122" s="2" t="s">
        <v>131</v>
      </c>
      <c r="D122" s="155">
        <v>-49.381347685025794</v>
      </c>
      <c r="E122" s="155">
        <v>-20.812636500000004</v>
      </c>
      <c r="F122" s="18">
        <v>2007</v>
      </c>
      <c r="G122" s="19" t="s">
        <v>90</v>
      </c>
      <c r="H122" s="17" t="s">
        <v>188</v>
      </c>
      <c r="I122" s="17" t="s">
        <v>43</v>
      </c>
      <c r="J122" s="17" t="s">
        <v>93</v>
      </c>
      <c r="K122" s="18">
        <v>240</v>
      </c>
      <c r="L122" s="28">
        <v>236</v>
      </c>
      <c r="M122" s="158" t="s">
        <v>11</v>
      </c>
      <c r="N122" s="17" t="s">
        <v>38</v>
      </c>
      <c r="O122" s="18">
        <v>99.6</v>
      </c>
      <c r="P122" s="1"/>
      <c r="Q122" s="84"/>
      <c r="R122" s="17"/>
    </row>
    <row r="123" spans="1:18" ht="14.25" customHeight="1" thickBot="1">
      <c r="A123" s="11" t="s">
        <v>94</v>
      </c>
      <c r="B123" s="21" t="s">
        <v>89</v>
      </c>
      <c r="C123" s="49" t="s">
        <v>114</v>
      </c>
      <c r="D123" s="156">
        <v>-47.457853253204043</v>
      </c>
      <c r="E123" s="156">
        <v>-23.499323</v>
      </c>
      <c r="F123" s="21">
        <v>2007</v>
      </c>
      <c r="G123" s="22" t="s">
        <v>90</v>
      </c>
      <c r="H123" s="21" t="s">
        <v>188</v>
      </c>
      <c r="I123" s="21" t="s">
        <v>43</v>
      </c>
      <c r="J123" s="21" t="s">
        <v>93</v>
      </c>
      <c r="K123" s="21">
        <v>180</v>
      </c>
      <c r="L123" s="25">
        <v>236</v>
      </c>
      <c r="M123" s="11" t="s">
        <v>11</v>
      </c>
      <c r="N123" s="21" t="s">
        <v>38</v>
      </c>
      <c r="O123" s="21">
        <v>100</v>
      </c>
      <c r="P123" s="49"/>
      <c r="Q123" s="79"/>
      <c r="R123" s="17"/>
    </row>
    <row r="124" spans="1:18" ht="14.25" customHeight="1">
      <c r="A124" s="270" t="s">
        <v>94</v>
      </c>
      <c r="B124" s="17" t="s">
        <v>89</v>
      </c>
      <c r="C124" s="227" t="s">
        <v>124</v>
      </c>
      <c r="D124" s="261"/>
      <c r="E124" s="262"/>
      <c r="F124" s="17">
        <v>2007</v>
      </c>
      <c r="G124" s="19" t="s">
        <v>90</v>
      </c>
      <c r="H124" s="17" t="s">
        <v>188</v>
      </c>
      <c r="I124" s="17" t="s">
        <v>43</v>
      </c>
      <c r="J124" s="17" t="s">
        <v>93</v>
      </c>
      <c r="K124" s="18">
        <v>360</v>
      </c>
      <c r="L124" s="24">
        <v>12</v>
      </c>
      <c r="M124" s="158" t="s">
        <v>11</v>
      </c>
      <c r="N124" s="158" t="s">
        <v>37</v>
      </c>
      <c r="O124" s="18">
        <v>100</v>
      </c>
      <c r="P124" s="1"/>
      <c r="Q124" s="79"/>
      <c r="R124" s="17"/>
    </row>
    <row r="125" spans="1:18" ht="14.25" customHeight="1">
      <c r="A125" s="270" t="s">
        <v>94</v>
      </c>
      <c r="B125" s="17" t="s">
        <v>89</v>
      </c>
      <c r="C125" s="2" t="s">
        <v>104</v>
      </c>
      <c r="D125" s="155">
        <v>-48.441289384350434</v>
      </c>
      <c r="E125" s="155">
        <v>-22.888381500000008</v>
      </c>
      <c r="F125" s="17">
        <v>2007</v>
      </c>
      <c r="G125" s="19" t="s">
        <v>90</v>
      </c>
      <c r="H125" s="17" t="s">
        <v>188</v>
      </c>
      <c r="I125" s="17" t="s">
        <v>43</v>
      </c>
      <c r="J125" s="17" t="s">
        <v>93</v>
      </c>
      <c r="K125" s="18">
        <v>180</v>
      </c>
      <c r="L125" s="24">
        <v>12</v>
      </c>
      <c r="M125" s="158" t="s">
        <v>11</v>
      </c>
      <c r="N125" s="158" t="s">
        <v>37</v>
      </c>
      <c r="O125" s="18">
        <v>100</v>
      </c>
      <c r="P125" s="79"/>
      <c r="Q125" s="79"/>
      <c r="R125" s="158"/>
    </row>
    <row r="126" spans="1:18" ht="14.25" customHeight="1">
      <c r="A126" s="270" t="s">
        <v>94</v>
      </c>
      <c r="B126" s="17" t="s">
        <v>89</v>
      </c>
      <c r="C126" s="2" t="s">
        <v>107</v>
      </c>
      <c r="D126" s="109">
        <v>-49.951645643103269</v>
      </c>
      <c r="E126" s="109">
        <v>-22.214933000000002</v>
      </c>
      <c r="F126" s="18">
        <v>2007</v>
      </c>
      <c r="G126" s="19" t="s">
        <v>90</v>
      </c>
      <c r="H126" s="17" t="s">
        <v>188</v>
      </c>
      <c r="I126" s="17" t="s">
        <v>43</v>
      </c>
      <c r="J126" s="17" t="s">
        <v>93</v>
      </c>
      <c r="K126" s="18">
        <v>240</v>
      </c>
      <c r="L126" s="24">
        <v>12</v>
      </c>
      <c r="M126" s="158" t="s">
        <v>11</v>
      </c>
      <c r="N126" s="158" t="s">
        <v>37</v>
      </c>
      <c r="O126" s="18">
        <v>100</v>
      </c>
      <c r="P126" s="79"/>
      <c r="Q126" s="79"/>
      <c r="R126" s="158"/>
    </row>
    <row r="127" spans="1:18" ht="14.25" customHeight="1">
      <c r="A127" s="270" t="s">
        <v>94</v>
      </c>
      <c r="B127" s="17" t="s">
        <v>89</v>
      </c>
      <c r="C127" s="2" t="s">
        <v>109</v>
      </c>
      <c r="D127" s="127">
        <v>-47.805475915541528</v>
      </c>
      <c r="E127" s="127">
        <v>-21.184834500000004</v>
      </c>
      <c r="F127" s="18">
        <v>2007</v>
      </c>
      <c r="G127" s="19" t="s">
        <v>90</v>
      </c>
      <c r="H127" s="17" t="s">
        <v>188</v>
      </c>
      <c r="I127" s="17" t="s">
        <v>43</v>
      </c>
      <c r="J127" s="17" t="s">
        <v>93</v>
      </c>
      <c r="K127" s="18">
        <v>180</v>
      </c>
      <c r="L127" s="24">
        <v>12</v>
      </c>
      <c r="M127" s="158" t="s">
        <v>11</v>
      </c>
      <c r="N127" s="158" t="s">
        <v>37</v>
      </c>
      <c r="O127" s="18">
        <v>98.9</v>
      </c>
      <c r="P127" s="8"/>
      <c r="Q127" s="8"/>
      <c r="R127" s="158"/>
    </row>
    <row r="128" spans="1:18" ht="14.25" customHeight="1">
      <c r="A128" s="270" t="s">
        <v>94</v>
      </c>
      <c r="B128" s="17" t="s">
        <v>89</v>
      </c>
      <c r="C128" s="2" t="s">
        <v>110</v>
      </c>
      <c r="D128" s="109">
        <v>-46.331370849190684</v>
      </c>
      <c r="E128" s="109">
        <v>-23.933737500000003</v>
      </c>
      <c r="F128" s="18">
        <v>2007</v>
      </c>
      <c r="G128" s="19" t="s">
        <v>90</v>
      </c>
      <c r="H128" s="17" t="s">
        <v>188</v>
      </c>
      <c r="I128" s="17" t="s">
        <v>43</v>
      </c>
      <c r="J128" s="17" t="s">
        <v>93</v>
      </c>
      <c r="K128" s="18">
        <v>300</v>
      </c>
      <c r="L128" s="24">
        <v>12</v>
      </c>
      <c r="M128" s="158" t="s">
        <v>11</v>
      </c>
      <c r="N128" s="158" t="s">
        <v>37</v>
      </c>
      <c r="O128" s="18">
        <v>100</v>
      </c>
      <c r="P128" s="79"/>
      <c r="Q128" s="79"/>
      <c r="R128" s="158"/>
    </row>
    <row r="129" spans="1:18" ht="14.25" customHeight="1">
      <c r="A129" s="270" t="s">
        <v>94</v>
      </c>
      <c r="B129" s="17" t="s">
        <v>89</v>
      </c>
      <c r="C129" s="2" t="s">
        <v>131</v>
      </c>
      <c r="D129" s="109">
        <v>-49.381347685025794</v>
      </c>
      <c r="E129" s="109">
        <v>-20.812636500000004</v>
      </c>
      <c r="F129" s="18">
        <v>2007</v>
      </c>
      <c r="G129" s="19" t="s">
        <v>90</v>
      </c>
      <c r="H129" s="17" t="s">
        <v>188</v>
      </c>
      <c r="I129" s="17" t="s">
        <v>43</v>
      </c>
      <c r="J129" s="17" t="s">
        <v>93</v>
      </c>
      <c r="K129" s="18">
        <v>180</v>
      </c>
      <c r="L129" s="24">
        <v>12</v>
      </c>
      <c r="M129" s="158" t="s">
        <v>11</v>
      </c>
      <c r="N129" s="158" t="s">
        <v>37</v>
      </c>
      <c r="O129" s="18">
        <v>100</v>
      </c>
      <c r="P129" s="79"/>
      <c r="Q129" s="79"/>
      <c r="R129" s="158"/>
    </row>
    <row r="130" spans="1:18" ht="14.25" customHeight="1" thickBot="1">
      <c r="A130" s="11" t="s">
        <v>94</v>
      </c>
      <c r="B130" s="21" t="s">
        <v>89</v>
      </c>
      <c r="C130" s="49" t="s">
        <v>113</v>
      </c>
      <c r="D130" s="110">
        <v>-36.551091902005247</v>
      </c>
      <c r="E130" s="110">
        <v>-9.9316573889236714</v>
      </c>
      <c r="F130" s="21">
        <v>2007</v>
      </c>
      <c r="G130" s="22" t="s">
        <v>90</v>
      </c>
      <c r="H130" s="21" t="s">
        <v>188</v>
      </c>
      <c r="I130" s="21" t="s">
        <v>43</v>
      </c>
      <c r="J130" s="21" t="s">
        <v>93</v>
      </c>
      <c r="K130" s="21">
        <v>300</v>
      </c>
      <c r="L130" s="25">
        <v>12</v>
      </c>
      <c r="M130" s="11" t="s">
        <v>11</v>
      </c>
      <c r="N130" s="11" t="s">
        <v>37</v>
      </c>
      <c r="O130" s="21">
        <v>99.3</v>
      </c>
      <c r="P130" s="103"/>
      <c r="Q130" s="79"/>
      <c r="R130" s="158"/>
    </row>
    <row r="131" spans="1:18" ht="14.25" customHeight="1">
      <c r="P131" s="79"/>
      <c r="Q131" s="84"/>
      <c r="R131" s="158"/>
    </row>
    <row r="132" spans="1:18" ht="14.25" customHeight="1">
      <c r="M132" s="79"/>
      <c r="N132" s="79"/>
      <c r="O132" s="158"/>
    </row>
    <row r="133" spans="1:18" ht="14.25" customHeight="1">
      <c r="C133" s="154"/>
      <c r="D133" s="154"/>
      <c r="E133" s="154"/>
      <c r="L133" s="158"/>
    </row>
    <row r="134" spans="1:18" ht="14.25" customHeight="1">
      <c r="C134" s="154"/>
      <c r="D134" s="154"/>
      <c r="E134" s="154"/>
      <c r="L134" s="158"/>
    </row>
    <row r="135" spans="1:18" ht="14.25" customHeight="1">
      <c r="C135" s="154"/>
      <c r="D135" s="154"/>
      <c r="E135" s="154"/>
      <c r="L135" s="27"/>
    </row>
    <row r="136" spans="1:18" ht="14.25" customHeight="1">
      <c r="C136" s="154"/>
      <c r="D136" s="154"/>
      <c r="E136" s="154"/>
    </row>
    <row r="137" spans="1:18" ht="14.25" customHeight="1">
      <c r="C137" s="154"/>
      <c r="D137" s="154"/>
      <c r="E137" s="154"/>
    </row>
    <row r="138" spans="1:18" ht="14.25" customHeight="1">
      <c r="C138" s="154"/>
      <c r="D138" s="154"/>
      <c r="E138" s="154"/>
    </row>
    <row r="139" spans="1:18" ht="14.25" customHeight="1">
      <c r="C139" s="154"/>
      <c r="D139" s="154"/>
      <c r="E139" s="154"/>
    </row>
    <row r="140" spans="1:18" ht="14.25" customHeight="1">
      <c r="C140" s="154"/>
      <c r="D140" s="154"/>
      <c r="E140" s="154"/>
    </row>
    <row r="141" spans="1:18" ht="14.25" customHeight="1">
      <c r="C141" s="154"/>
      <c r="D141" s="154"/>
      <c r="E141" s="154"/>
    </row>
    <row r="142" spans="1:18" ht="14.25" customHeight="1">
      <c r="C142" s="154"/>
      <c r="D142" s="154"/>
      <c r="E142" s="154"/>
    </row>
    <row r="143" spans="1:18" ht="14.25" customHeight="1">
      <c r="C143" s="154"/>
      <c r="D143" s="154"/>
      <c r="E143" s="154"/>
    </row>
    <row r="144" spans="1:18" ht="14.25" customHeight="1">
      <c r="C144" s="154"/>
      <c r="D144" s="154"/>
      <c r="E144" s="154"/>
    </row>
    <row r="145" spans="3:5" ht="14.25" customHeight="1">
      <c r="C145" s="154"/>
      <c r="D145" s="154"/>
      <c r="E145" s="154"/>
    </row>
    <row r="146" spans="3:5" ht="14.25" customHeight="1">
      <c r="C146" s="154"/>
      <c r="D146" s="154"/>
      <c r="E146" s="154"/>
    </row>
    <row r="147" spans="3:5" ht="14.25" customHeight="1">
      <c r="C147" s="154"/>
      <c r="D147" s="154"/>
      <c r="E147" s="154"/>
    </row>
    <row r="148" spans="3:5" ht="14.25" customHeight="1">
      <c r="C148" s="154"/>
      <c r="D148" s="154"/>
      <c r="E148" s="154"/>
    </row>
    <row r="149" spans="3:5" ht="14.25" customHeight="1">
      <c r="C149" s="154"/>
      <c r="D149" s="154"/>
      <c r="E149" s="154"/>
    </row>
    <row r="150" spans="3:5" ht="14.25" customHeight="1">
      <c r="C150" s="154"/>
      <c r="D150" s="154"/>
      <c r="E150" s="154"/>
    </row>
    <row r="151" spans="3:5" ht="14.25" customHeight="1">
      <c r="C151" s="154"/>
    </row>
    <row r="152" spans="3:5" ht="14.25" customHeight="1">
      <c r="C152" s="154"/>
    </row>
    <row r="153" spans="3:5" ht="14.25" customHeight="1">
      <c r="C153" s="154"/>
    </row>
    <row r="154" spans="3:5" ht="14.25" customHeight="1">
      <c r="C154" s="154"/>
    </row>
    <row r="155" spans="3:5" ht="14.25" customHeight="1">
      <c r="C155" s="154"/>
    </row>
    <row r="156" spans="3:5" ht="14.25" customHeight="1">
      <c r="C156" s="154"/>
    </row>
    <row r="157" spans="3:5" ht="14.25" customHeight="1">
      <c r="C157" s="154"/>
    </row>
    <row r="158" spans="3:5" ht="14.25" customHeight="1">
      <c r="C158" s="154"/>
    </row>
    <row r="159" spans="3:5" ht="14.25" customHeight="1">
      <c r="C159" s="154"/>
    </row>
  </sheetData>
  <mergeCells count="2">
    <mergeCell ref="Q107:R107"/>
    <mergeCell ref="Q108:R108"/>
  </mergeCells>
  <phoneticPr fontId="48" type="noConversion"/>
  <conditionalFormatting sqref="Q107:Q108">
    <cfRule type="cellIs" dxfId="47" priority="34" stopIfTrue="1" operator="between">
      <formula>0</formula>
      <formula>79.9</formula>
    </cfRule>
    <cfRule type="cellIs" dxfId="46" priority="35" stopIfTrue="1" operator="between">
      <formula>80</formula>
      <formula>97.9</formula>
    </cfRule>
    <cfRule type="cellIs" dxfId="45" priority="36" stopIfTrue="1" operator="between">
      <formula>98</formula>
      <formula>100</formula>
    </cfRule>
  </conditionalFormatting>
  <conditionalFormatting sqref="K92">
    <cfRule type="cellIs" dxfId="44" priority="31" stopIfTrue="1" operator="between">
      <formula>0</formula>
      <formula>79.9</formula>
    </cfRule>
    <cfRule type="cellIs" dxfId="43" priority="32" stopIfTrue="1" operator="between">
      <formula>80</formula>
      <formula>97.9</formula>
    </cfRule>
    <cfRule type="cellIs" dxfId="42" priority="33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V280"/>
  <sheetViews>
    <sheetView topLeftCell="A88" workbookViewId="0">
      <selection activeCell="O107" sqref="O107"/>
    </sheetView>
  </sheetViews>
  <sheetFormatPr baseColWidth="10" defaultColWidth="8.83203125" defaultRowHeight="14.25" customHeight="1"/>
  <cols>
    <col min="1" max="1" width="19.83203125" style="18" bestFit="1" customWidth="1"/>
    <col min="2" max="2" width="7" style="18" bestFit="1" customWidth="1"/>
    <col min="3" max="3" width="20" style="18" customWidth="1"/>
    <col min="4" max="4" width="18.83203125" style="18" customWidth="1"/>
    <col min="5" max="5" width="17.6640625" style="18" customWidth="1"/>
    <col min="6" max="6" width="20" style="18" customWidth="1"/>
    <col min="7" max="7" width="12.6640625" style="18" customWidth="1"/>
    <col min="8" max="8" width="15.5" style="18" customWidth="1"/>
    <col min="9" max="9" width="17.5" style="18" customWidth="1"/>
    <col min="10" max="10" width="10.83203125" style="18" customWidth="1"/>
    <col min="11" max="11" width="13.5" style="18" customWidth="1"/>
    <col min="12" max="12" width="12" style="18" customWidth="1"/>
    <col min="13" max="13" width="10.1640625" style="18" bestFit="1" customWidth="1"/>
    <col min="14" max="14" width="7.6640625" style="18" customWidth="1"/>
    <col min="15" max="15" width="14.1640625" style="18" customWidth="1"/>
    <col min="16" max="16" width="14.5" style="18" customWidth="1"/>
    <col min="17" max="17" width="7.6640625" style="18" bestFit="1" customWidth="1"/>
    <col min="18" max="18" width="5.1640625" style="18" bestFit="1" customWidth="1"/>
    <col min="19" max="21" width="6.5" style="18" bestFit="1" customWidth="1"/>
    <col min="22" max="22" width="8.83203125" style="151"/>
    <col min="23" max="16384" width="8.83203125" style="26"/>
  </cols>
  <sheetData>
    <row r="1" spans="1:22" s="18" customFormat="1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2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2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82</v>
      </c>
      <c r="R1" s="11" t="s">
        <v>79</v>
      </c>
      <c r="S1" s="11" t="s">
        <v>85</v>
      </c>
      <c r="T1" s="11" t="s">
        <v>86</v>
      </c>
      <c r="U1" s="11" t="s">
        <v>87</v>
      </c>
      <c r="V1" s="151"/>
    </row>
    <row r="2" spans="1:22" s="18" customFormat="1" ht="14.25" customHeight="1">
      <c r="A2" s="270" t="s">
        <v>94</v>
      </c>
      <c r="B2" s="17" t="s">
        <v>89</v>
      </c>
      <c r="C2" s="20" t="s">
        <v>124</v>
      </c>
      <c r="D2" s="261"/>
      <c r="E2" s="262"/>
      <c r="F2" s="18">
        <v>2008</v>
      </c>
      <c r="G2" s="19" t="s">
        <v>90</v>
      </c>
      <c r="H2" s="18" t="s">
        <v>177</v>
      </c>
      <c r="I2" s="17" t="s">
        <v>91</v>
      </c>
      <c r="J2" s="18" t="s">
        <v>81</v>
      </c>
      <c r="K2" s="18">
        <v>1200</v>
      </c>
      <c r="L2" s="18">
        <v>1.2E-2</v>
      </c>
      <c r="M2" s="18" t="s">
        <v>80</v>
      </c>
      <c r="N2" s="18" t="s">
        <v>88</v>
      </c>
      <c r="O2" s="5">
        <v>100</v>
      </c>
      <c r="P2" s="40">
        <v>2.0000000000000052E-4</v>
      </c>
      <c r="Q2" s="18" t="s">
        <v>97</v>
      </c>
      <c r="R2" s="18" t="s">
        <v>80</v>
      </c>
      <c r="S2" s="3">
        <v>3.2000000000000002E-3</v>
      </c>
      <c r="T2" s="3">
        <v>5.0000000000000001E-3</v>
      </c>
      <c r="U2" s="3">
        <v>6.0000000000000001E-3</v>
      </c>
      <c r="V2" s="151"/>
    </row>
    <row r="3" spans="1:22" ht="14.25" customHeight="1">
      <c r="A3" s="270" t="s">
        <v>94</v>
      </c>
      <c r="B3" s="17" t="s">
        <v>89</v>
      </c>
      <c r="C3" s="18" t="s">
        <v>100</v>
      </c>
      <c r="D3" s="109">
        <v>-50.439226072752582</v>
      </c>
      <c r="E3" s="109">
        <v>-21.205476000000004</v>
      </c>
      <c r="F3" s="18">
        <v>2008</v>
      </c>
      <c r="G3" s="19" t="s">
        <v>90</v>
      </c>
      <c r="H3" s="18" t="s">
        <v>177</v>
      </c>
      <c r="I3" s="17" t="s">
        <v>91</v>
      </c>
      <c r="J3" s="18" t="s">
        <v>81</v>
      </c>
      <c r="K3" s="158">
        <v>900</v>
      </c>
      <c r="L3" s="18">
        <v>1.2E-2</v>
      </c>
      <c r="M3" s="18" t="s">
        <v>80</v>
      </c>
      <c r="N3" s="18" t="s">
        <v>88</v>
      </c>
      <c r="O3" s="10">
        <f>(95+32.5+85)/3</f>
        <v>70.833333333333329</v>
      </c>
      <c r="P3" s="3">
        <v>2.0000000000000018E-3</v>
      </c>
      <c r="Q3" s="18" t="s">
        <v>97</v>
      </c>
      <c r="R3" s="18" t="s">
        <v>80</v>
      </c>
      <c r="S3" s="3">
        <v>9.1999999999999998E-3</v>
      </c>
      <c r="T3" s="3">
        <v>0.02</v>
      </c>
      <c r="U3" s="3">
        <v>2.8000000000000001E-2</v>
      </c>
    </row>
    <row r="4" spans="1:22" ht="14.25" customHeight="1">
      <c r="A4" s="270" t="s">
        <v>94</v>
      </c>
      <c r="B4" s="17" t="s">
        <v>89</v>
      </c>
      <c r="C4" s="18" t="s">
        <v>101</v>
      </c>
      <c r="D4" s="109">
        <v>-48.567377839455055</v>
      </c>
      <c r="E4" s="109">
        <v>-20.558455515000002</v>
      </c>
      <c r="F4" s="18">
        <v>2008</v>
      </c>
      <c r="G4" s="19" t="s">
        <v>90</v>
      </c>
      <c r="H4" s="18" t="s">
        <v>177</v>
      </c>
      <c r="I4" s="17" t="s">
        <v>91</v>
      </c>
      <c r="J4" s="18" t="s">
        <v>81</v>
      </c>
      <c r="K4" s="158">
        <v>1500</v>
      </c>
      <c r="L4" s="18">
        <v>1.2E-2</v>
      </c>
      <c r="M4" s="18" t="s">
        <v>80</v>
      </c>
      <c r="N4" s="18" t="s">
        <v>88</v>
      </c>
      <c r="O4" s="10">
        <f>(80+65+77.5+86.7+73.75)/5</f>
        <v>76.59</v>
      </c>
      <c r="P4" s="3">
        <v>9.9999999999999742E-4</v>
      </c>
      <c r="Q4" s="18" t="s">
        <v>97</v>
      </c>
      <c r="R4" s="18" t="s">
        <v>80</v>
      </c>
      <c r="S4" s="3">
        <v>8.9999999999999993E-3</v>
      </c>
      <c r="T4" s="3">
        <v>1.7999999999999999E-2</v>
      </c>
      <c r="U4" s="3">
        <v>2.5000000000000001E-2</v>
      </c>
    </row>
    <row r="5" spans="1:22" ht="14.25" customHeight="1">
      <c r="A5" s="270" t="s">
        <v>94</v>
      </c>
      <c r="B5" s="17" t="s">
        <v>89</v>
      </c>
      <c r="C5" s="17" t="s">
        <v>133</v>
      </c>
      <c r="D5" s="109">
        <v>-49.083000867090362</v>
      </c>
      <c r="E5" s="109">
        <v>-22.325122500000006</v>
      </c>
      <c r="F5" s="18">
        <v>2008</v>
      </c>
      <c r="G5" s="19" t="s">
        <v>90</v>
      </c>
      <c r="H5" s="18" t="s">
        <v>177</v>
      </c>
      <c r="I5" s="17" t="s">
        <v>91</v>
      </c>
      <c r="J5" s="18" t="s">
        <v>81</v>
      </c>
      <c r="K5" s="158">
        <v>1800</v>
      </c>
      <c r="L5" s="18">
        <v>1.2E-2</v>
      </c>
      <c r="M5" s="18" t="s">
        <v>80</v>
      </c>
      <c r="N5" s="18" t="s">
        <v>88</v>
      </c>
      <c r="O5" s="10">
        <f>(73.75+65+58.3+65+55+51.3)/6</f>
        <v>61.391666666666673</v>
      </c>
      <c r="P5" s="3">
        <v>2.0000000000000018E-3</v>
      </c>
      <c r="Q5" s="18" t="s">
        <v>97</v>
      </c>
      <c r="R5" s="18" t="s">
        <v>80</v>
      </c>
      <c r="S5" s="3">
        <v>9.1000000000000004E-3</v>
      </c>
      <c r="T5" s="3">
        <v>2.5000000000000001E-2</v>
      </c>
      <c r="U5" s="3">
        <v>3.7999999999999999E-2</v>
      </c>
    </row>
    <row r="6" spans="1:22" ht="14.25" customHeight="1">
      <c r="A6" s="270" t="s">
        <v>94</v>
      </c>
      <c r="B6" s="17" t="s">
        <v>89</v>
      </c>
      <c r="C6" s="18" t="s">
        <v>103</v>
      </c>
      <c r="D6" s="109">
        <v>-48.441289384350434</v>
      </c>
      <c r="E6" s="109">
        <v>-22.888381500000008</v>
      </c>
      <c r="F6" s="18">
        <v>2008</v>
      </c>
      <c r="G6" s="19" t="s">
        <v>90</v>
      </c>
      <c r="H6" s="18" t="s">
        <v>177</v>
      </c>
      <c r="I6" s="17" t="s">
        <v>91</v>
      </c>
      <c r="J6" s="18" t="s">
        <v>81</v>
      </c>
      <c r="K6" s="158">
        <v>1200</v>
      </c>
      <c r="L6" s="18">
        <v>1.2E-2</v>
      </c>
      <c r="M6" s="18" t="s">
        <v>80</v>
      </c>
      <c r="N6" s="18" t="s">
        <v>88</v>
      </c>
      <c r="O6" s="10">
        <f>(96+94.2+99.3+100)/4</f>
        <v>97.375</v>
      </c>
      <c r="P6" s="3">
        <v>9.9999999999999395E-5</v>
      </c>
      <c r="Q6" s="18" t="s">
        <v>97</v>
      </c>
      <c r="R6" s="18" t="s">
        <v>80</v>
      </c>
      <c r="S6" s="3">
        <v>5.0000000000000001E-3</v>
      </c>
      <c r="T6" s="3">
        <v>8.9999999999999993E-3</v>
      </c>
      <c r="U6" s="3">
        <v>1.2E-2</v>
      </c>
    </row>
    <row r="7" spans="1:22" ht="14.25" customHeight="1">
      <c r="A7" s="270" t="s">
        <v>94</v>
      </c>
      <c r="B7" s="17" t="s">
        <v>89</v>
      </c>
      <c r="C7" s="18" t="s">
        <v>134</v>
      </c>
      <c r="D7" s="109">
        <v>-47.299749835960981</v>
      </c>
      <c r="E7" s="109">
        <v>-23.265442500000002</v>
      </c>
      <c r="F7" s="18">
        <v>2008</v>
      </c>
      <c r="G7" s="19" t="s">
        <v>90</v>
      </c>
      <c r="H7" s="18" t="s">
        <v>177</v>
      </c>
      <c r="I7" s="17" t="s">
        <v>91</v>
      </c>
      <c r="J7" s="18" t="s">
        <v>81</v>
      </c>
      <c r="K7" s="158">
        <v>1200</v>
      </c>
      <c r="L7" s="18">
        <v>1.2E-2</v>
      </c>
      <c r="M7" s="18" t="s">
        <v>80</v>
      </c>
      <c r="N7" s="18" t="s">
        <v>88</v>
      </c>
      <c r="O7" s="10">
        <f>(74+90.7+83.3+72.5)/4</f>
        <v>80.125</v>
      </c>
      <c r="P7" s="4">
        <v>1.0000000000000009E-3</v>
      </c>
      <c r="Q7" s="18" t="s">
        <v>97</v>
      </c>
      <c r="R7" s="18" t="s">
        <v>80</v>
      </c>
      <c r="S7" s="3">
        <v>8.9999999999999993E-3</v>
      </c>
      <c r="T7" s="3">
        <v>1.7000000000000001E-2</v>
      </c>
      <c r="U7" s="3">
        <v>2.1999999999999999E-2</v>
      </c>
    </row>
    <row r="8" spans="1:22" ht="14.25" customHeight="1">
      <c r="A8" s="270" t="s">
        <v>94</v>
      </c>
      <c r="B8" s="17" t="s">
        <v>89</v>
      </c>
      <c r="C8" s="18" t="s">
        <v>95</v>
      </c>
      <c r="D8" s="109">
        <v>-46.570383182112749</v>
      </c>
      <c r="E8" s="109">
        <v>-23.567386500000001</v>
      </c>
      <c r="F8" s="18">
        <v>2008</v>
      </c>
      <c r="G8" s="19" t="s">
        <v>90</v>
      </c>
      <c r="H8" s="18" t="s">
        <v>177</v>
      </c>
      <c r="I8" s="17" t="s">
        <v>91</v>
      </c>
      <c r="J8" s="18" t="s">
        <v>81</v>
      </c>
      <c r="K8" s="158">
        <v>1200</v>
      </c>
      <c r="L8" s="18">
        <v>1.2E-2</v>
      </c>
      <c r="M8" s="18" t="s">
        <v>80</v>
      </c>
      <c r="N8" s="18" t="s">
        <v>88</v>
      </c>
      <c r="O8" s="10">
        <f>(88.7+84.4+83.3+71.6)/4</f>
        <v>82</v>
      </c>
      <c r="P8" s="3">
        <v>9.9999999999999915E-4</v>
      </c>
      <c r="Q8" s="18" t="s">
        <v>97</v>
      </c>
      <c r="R8" s="18" t="s">
        <v>80</v>
      </c>
      <c r="S8" s="3">
        <v>7.7999999999999996E-3</v>
      </c>
      <c r="T8" s="3">
        <v>1.4999999999999999E-2</v>
      </c>
      <c r="U8" s="3">
        <v>1.9E-2</v>
      </c>
    </row>
    <row r="9" spans="1:22" ht="14.25" customHeight="1">
      <c r="A9" s="270" t="s">
        <v>94</v>
      </c>
      <c r="B9" s="17" t="s">
        <v>89</v>
      </c>
      <c r="C9" s="18" t="s">
        <v>108</v>
      </c>
      <c r="D9" s="109">
        <v>-51.386765581912492</v>
      </c>
      <c r="E9" s="109">
        <v>-22.122743500000002</v>
      </c>
      <c r="F9" s="18">
        <v>2008</v>
      </c>
      <c r="G9" s="19" t="s">
        <v>90</v>
      </c>
      <c r="H9" s="18" t="s">
        <v>177</v>
      </c>
      <c r="I9" s="17" t="s">
        <v>91</v>
      </c>
      <c r="J9" s="18" t="s">
        <v>81</v>
      </c>
      <c r="K9" s="158">
        <v>1200</v>
      </c>
      <c r="L9" s="18">
        <v>1.2E-2</v>
      </c>
      <c r="M9" s="18" t="s">
        <v>80</v>
      </c>
      <c r="N9" s="18" t="s">
        <v>88</v>
      </c>
      <c r="O9" s="10">
        <f>(73.3+73.3+85+60)/4</f>
        <v>72.900000000000006</v>
      </c>
      <c r="P9" s="3">
        <v>1.7000000000000001E-3</v>
      </c>
      <c r="Q9" s="18" t="s">
        <v>97</v>
      </c>
      <c r="R9" s="18" t="s">
        <v>80</v>
      </c>
      <c r="S9" s="3">
        <v>8.3999999999999995E-3</v>
      </c>
      <c r="T9" s="3">
        <v>2.07E-2</v>
      </c>
      <c r="U9" s="3">
        <v>0.03</v>
      </c>
    </row>
    <row r="10" spans="1:22" ht="14.25" customHeight="1">
      <c r="A10" s="270" t="s">
        <v>94</v>
      </c>
      <c r="B10" s="17" t="s">
        <v>89</v>
      </c>
      <c r="C10" s="18" t="s">
        <v>109</v>
      </c>
      <c r="D10" s="109">
        <v>-47.805475915541528</v>
      </c>
      <c r="E10" s="109">
        <v>-21.184834500000004</v>
      </c>
      <c r="F10" s="18">
        <v>2008</v>
      </c>
      <c r="G10" s="19" t="s">
        <v>90</v>
      </c>
      <c r="H10" s="18" t="s">
        <v>177</v>
      </c>
      <c r="I10" s="17" t="s">
        <v>91</v>
      </c>
      <c r="J10" s="18" t="s">
        <v>81</v>
      </c>
      <c r="K10" s="158">
        <v>1500</v>
      </c>
      <c r="L10" s="18">
        <v>1.2E-2</v>
      </c>
      <c r="M10" s="18" t="s">
        <v>80</v>
      </c>
      <c r="N10" s="18" t="s">
        <v>88</v>
      </c>
      <c r="O10" s="10">
        <f>(56.7+68.8+90+91.5+54.2)/5</f>
        <v>72.239999999999995</v>
      </c>
      <c r="P10" s="3">
        <v>1.0000000000000009E-3</v>
      </c>
      <c r="Q10" s="18" t="s">
        <v>97</v>
      </c>
      <c r="R10" s="18" t="s">
        <v>80</v>
      </c>
      <c r="S10" s="3">
        <v>0.01</v>
      </c>
      <c r="T10" s="3">
        <v>1.7000000000000001E-2</v>
      </c>
      <c r="U10" s="3">
        <v>2.1000000000000001E-2</v>
      </c>
    </row>
    <row r="11" spans="1:22" ht="14.25" customHeight="1">
      <c r="A11" s="270" t="s">
        <v>94</v>
      </c>
      <c r="B11" s="17" t="s">
        <v>89</v>
      </c>
      <c r="C11" s="18" t="s">
        <v>127</v>
      </c>
      <c r="D11" s="109">
        <v>-46.922092505649722</v>
      </c>
      <c r="E11" s="109">
        <v>-23.449453000000005</v>
      </c>
      <c r="F11" s="18">
        <v>2008</v>
      </c>
      <c r="G11" s="19" t="s">
        <v>90</v>
      </c>
      <c r="H11" s="18" t="s">
        <v>177</v>
      </c>
      <c r="I11" s="17" t="s">
        <v>91</v>
      </c>
      <c r="J11" s="18" t="s">
        <v>81</v>
      </c>
      <c r="K11" s="158">
        <v>1200</v>
      </c>
      <c r="L11" s="18">
        <v>1.2E-2</v>
      </c>
      <c r="M11" s="18" t="s">
        <v>80</v>
      </c>
      <c r="N11" s="18" t="s">
        <v>88</v>
      </c>
      <c r="O11" s="10">
        <f>(91.9+99.4+76.6+75)/4</f>
        <v>85.724999999999994</v>
      </c>
      <c r="P11" s="3">
        <v>9.9999999999999915E-4</v>
      </c>
      <c r="Q11" s="18" t="s">
        <v>97</v>
      </c>
      <c r="R11" s="18" t="s">
        <v>80</v>
      </c>
      <c r="S11" s="3">
        <v>6.7000000000000002E-3</v>
      </c>
      <c r="T11" s="3">
        <v>1.4999999999999999E-2</v>
      </c>
      <c r="U11" s="3">
        <v>2.1000000000000001E-2</v>
      </c>
    </row>
    <row r="12" spans="1:22" ht="14.25" customHeight="1">
      <c r="A12" s="270" t="s">
        <v>94</v>
      </c>
      <c r="B12" s="17" t="s">
        <v>89</v>
      </c>
      <c r="C12" s="18" t="s">
        <v>110</v>
      </c>
      <c r="D12" s="109">
        <v>-46.331370849190684</v>
      </c>
      <c r="E12" s="109">
        <v>-23.933737500000003</v>
      </c>
      <c r="F12" s="18">
        <v>2008</v>
      </c>
      <c r="G12" s="19" t="s">
        <v>90</v>
      </c>
      <c r="H12" s="18" t="s">
        <v>177</v>
      </c>
      <c r="I12" s="17" t="s">
        <v>91</v>
      </c>
      <c r="J12" s="18" t="s">
        <v>81</v>
      </c>
      <c r="K12" s="158">
        <v>1200</v>
      </c>
      <c r="L12" s="18">
        <v>1.2E-2</v>
      </c>
      <c r="M12" s="18" t="s">
        <v>80</v>
      </c>
      <c r="N12" s="18" t="s">
        <v>88</v>
      </c>
      <c r="O12" s="10">
        <f>(51.25+38.3+28.7+59)/4</f>
        <v>44.3125</v>
      </c>
      <c r="P12" s="4">
        <v>6.0000000000000019E-3</v>
      </c>
      <c r="Q12" s="18" t="s">
        <v>97</v>
      </c>
      <c r="R12" s="18" t="s">
        <v>80</v>
      </c>
      <c r="S12" s="3">
        <v>1.2E-2</v>
      </c>
      <c r="T12" s="3">
        <v>2.4E-2</v>
      </c>
      <c r="U12" s="3">
        <v>3.1E-2</v>
      </c>
    </row>
    <row r="13" spans="1:22" ht="14.25" customHeight="1">
      <c r="A13" s="270" t="s">
        <v>94</v>
      </c>
      <c r="B13" s="17" t="s">
        <v>89</v>
      </c>
      <c r="C13" s="17" t="s">
        <v>111</v>
      </c>
      <c r="D13" s="109">
        <v>-47.889237684691636</v>
      </c>
      <c r="E13" s="109">
        <v>-22.015998500000002</v>
      </c>
      <c r="F13" s="18">
        <v>2008</v>
      </c>
      <c r="G13" s="19" t="s">
        <v>90</v>
      </c>
      <c r="H13" s="18" t="s">
        <v>177</v>
      </c>
      <c r="I13" s="17" t="s">
        <v>91</v>
      </c>
      <c r="J13" s="18" t="s">
        <v>81</v>
      </c>
      <c r="K13" s="158">
        <v>1500</v>
      </c>
      <c r="L13" s="18">
        <v>1.2E-2</v>
      </c>
      <c r="M13" s="18" t="s">
        <v>80</v>
      </c>
      <c r="N13" s="18" t="s">
        <v>88</v>
      </c>
      <c r="O13" s="10">
        <f>(60.6+88.4+86.8+96+98.8)/5</f>
        <v>86.12</v>
      </c>
      <c r="P13" s="3">
        <v>1.0000000000000009E-3</v>
      </c>
      <c r="Q13" s="18" t="s">
        <v>97</v>
      </c>
      <c r="R13" s="18" t="s">
        <v>80</v>
      </c>
      <c r="S13" s="3">
        <v>7.1000000000000004E-3</v>
      </c>
      <c r="T13" s="3">
        <v>1.4E-2</v>
      </c>
      <c r="U13" s="3">
        <v>1.7999999999999999E-2</v>
      </c>
    </row>
    <row r="14" spans="1:22" ht="14.25" customHeight="1">
      <c r="A14" s="270" t="s">
        <v>94</v>
      </c>
      <c r="B14" s="17" t="s">
        <v>89</v>
      </c>
      <c r="C14" s="17" t="s">
        <v>131</v>
      </c>
      <c r="D14" s="109">
        <v>-49.381347685025794</v>
      </c>
      <c r="E14" s="109">
        <v>-20.812636500000004</v>
      </c>
      <c r="F14" s="18">
        <v>2008</v>
      </c>
      <c r="G14" s="19" t="s">
        <v>90</v>
      </c>
      <c r="H14" s="18" t="s">
        <v>177</v>
      </c>
      <c r="I14" s="17" t="s">
        <v>91</v>
      </c>
      <c r="J14" s="18" t="s">
        <v>81</v>
      </c>
      <c r="K14" s="158">
        <v>1200</v>
      </c>
      <c r="L14" s="18">
        <v>1.2E-2</v>
      </c>
      <c r="M14" s="18" t="s">
        <v>80</v>
      </c>
      <c r="N14" s="18" t="s">
        <v>88</v>
      </c>
      <c r="O14" s="10">
        <f>(52.5+60+61.6+78.8)/4</f>
        <v>63.224999999999994</v>
      </c>
      <c r="P14" s="3">
        <v>2.9999999999999992E-3</v>
      </c>
      <c r="Q14" s="18" t="s">
        <v>97</v>
      </c>
      <c r="R14" s="18" t="s">
        <v>80</v>
      </c>
      <c r="S14" s="3">
        <v>9.7000000000000003E-3</v>
      </c>
      <c r="T14" s="3">
        <v>2.8000000000000001E-2</v>
      </c>
      <c r="U14" s="3">
        <v>4.3999999999999997E-2</v>
      </c>
    </row>
    <row r="15" spans="1:22" ht="14.25" customHeight="1">
      <c r="A15" s="270" t="s">
        <v>94</v>
      </c>
      <c r="B15" s="17" t="s">
        <v>89</v>
      </c>
      <c r="C15" s="17" t="s">
        <v>113</v>
      </c>
      <c r="D15" s="109">
        <v>-45.402680140543957</v>
      </c>
      <c r="E15" s="109">
        <v>-23.806687652148753</v>
      </c>
      <c r="F15" s="18">
        <v>2008</v>
      </c>
      <c r="G15" s="19" t="s">
        <v>90</v>
      </c>
      <c r="H15" s="18" t="s">
        <v>177</v>
      </c>
      <c r="I15" s="17" t="s">
        <v>91</v>
      </c>
      <c r="J15" s="18" t="s">
        <v>81</v>
      </c>
      <c r="K15" s="158">
        <v>1200</v>
      </c>
      <c r="L15" s="18">
        <v>1.2E-2</v>
      </c>
      <c r="M15" s="18" t="s">
        <v>80</v>
      </c>
      <c r="N15" s="18" t="s">
        <v>88</v>
      </c>
      <c r="O15" s="10">
        <f>(84.5+41.9+75+66.2)/4</f>
        <v>66.900000000000006</v>
      </c>
      <c r="P15" s="3">
        <v>1.0000000000000009E-3</v>
      </c>
      <c r="Q15" s="18" t="s">
        <v>97</v>
      </c>
      <c r="R15" s="18" t="s">
        <v>80</v>
      </c>
      <c r="S15" s="3">
        <v>1.0999999999999999E-2</v>
      </c>
      <c r="T15" s="3">
        <v>1.7000000000000001E-2</v>
      </c>
      <c r="U15" s="3">
        <v>2.1000000000000001E-2</v>
      </c>
    </row>
    <row r="16" spans="1:22" ht="14.25" customHeight="1">
      <c r="A16" s="270" t="s">
        <v>94</v>
      </c>
      <c r="B16" s="17" t="s">
        <v>89</v>
      </c>
      <c r="C16" s="158" t="s">
        <v>146</v>
      </c>
      <c r="D16" s="109">
        <v>-54.58710248860465</v>
      </c>
      <c r="E16" s="109">
        <v>-25.542493279529253</v>
      </c>
      <c r="F16" s="18">
        <v>2008</v>
      </c>
      <c r="G16" s="19" t="s">
        <v>90</v>
      </c>
      <c r="H16" s="17" t="s">
        <v>177</v>
      </c>
      <c r="I16" s="17" t="s">
        <v>91</v>
      </c>
      <c r="J16" s="18" t="s">
        <v>81</v>
      </c>
      <c r="K16" s="158">
        <v>1800</v>
      </c>
      <c r="L16" s="18">
        <v>1.2E-2</v>
      </c>
      <c r="M16" s="18" t="s">
        <v>80</v>
      </c>
      <c r="N16" s="18" t="s">
        <v>88</v>
      </c>
      <c r="O16" s="10">
        <f>(94.1+100+97.6+100+100+94)/6</f>
        <v>97.616666666666674</v>
      </c>
      <c r="P16" s="3">
        <v>1.0000000000000009E-3</v>
      </c>
      <c r="Q16" s="18" t="s">
        <v>97</v>
      </c>
      <c r="R16" s="18" t="s">
        <v>80</v>
      </c>
      <c r="S16" s="3">
        <v>9.2999999999999992E-3</v>
      </c>
      <c r="T16" s="3">
        <v>1.7000000000000001E-2</v>
      </c>
      <c r="U16" s="3">
        <v>2.1999999999999999E-2</v>
      </c>
    </row>
    <row r="17" spans="1:21" ht="14.25" customHeight="1">
      <c r="A17" s="270" t="s">
        <v>94</v>
      </c>
      <c r="B17" s="17" t="s">
        <v>89</v>
      </c>
      <c r="C17" s="158" t="s">
        <v>147</v>
      </c>
      <c r="D17" s="109">
        <v>-51.939881870252066</v>
      </c>
      <c r="E17" s="109">
        <v>-23.422280000000004</v>
      </c>
      <c r="F17" s="18">
        <v>2008</v>
      </c>
      <c r="G17" s="19" t="s">
        <v>90</v>
      </c>
      <c r="H17" s="18" t="s">
        <v>177</v>
      </c>
      <c r="I17" s="17" t="s">
        <v>91</v>
      </c>
      <c r="J17" s="18" t="s">
        <v>81</v>
      </c>
      <c r="K17" s="158">
        <v>2100</v>
      </c>
      <c r="L17" s="18">
        <v>1.2E-2</v>
      </c>
      <c r="M17" s="18" t="s">
        <v>80</v>
      </c>
      <c r="N17" s="18" t="s">
        <v>88</v>
      </c>
      <c r="O17" s="10">
        <f>(81.1+73.3+73.7+86.5+73.5+90.5+90)/7</f>
        <v>81.228571428571414</v>
      </c>
      <c r="P17" s="3">
        <v>1.9999999999999983E-3</v>
      </c>
      <c r="Q17" s="18" t="s">
        <v>97</v>
      </c>
      <c r="R17" s="18" t="s">
        <v>80</v>
      </c>
      <c r="S17" s="3">
        <v>7.7999999999999996E-3</v>
      </c>
      <c r="T17" s="3">
        <v>2.1999999999999999E-2</v>
      </c>
      <c r="U17" s="3">
        <v>3.4000000000000002E-2</v>
      </c>
    </row>
    <row r="18" spans="1:21" ht="14.25" customHeight="1">
      <c r="A18" s="138" t="s">
        <v>6</v>
      </c>
      <c r="B18" s="17" t="s">
        <v>89</v>
      </c>
      <c r="C18" s="17" t="s">
        <v>148</v>
      </c>
      <c r="D18" s="109">
        <v>-45.004168437028525</v>
      </c>
      <c r="E18" s="109">
        <v>-12.144924888390602</v>
      </c>
      <c r="F18" s="18">
        <v>2008</v>
      </c>
      <c r="G18" s="19" t="s">
        <v>90</v>
      </c>
      <c r="H18" s="18" t="s">
        <v>177</v>
      </c>
      <c r="I18" s="17" t="s">
        <v>91</v>
      </c>
      <c r="J18" s="18" t="s">
        <v>81</v>
      </c>
      <c r="K18" s="158">
        <v>3000</v>
      </c>
      <c r="L18" s="18">
        <v>1.2E-2</v>
      </c>
      <c r="M18" s="18" t="s">
        <v>80</v>
      </c>
      <c r="N18" s="18" t="s">
        <v>88</v>
      </c>
      <c r="O18" s="10">
        <f>(100+90.8+73.2+58.9+98.9+95.5+72+45+51.7+46.25)/10</f>
        <v>73.224999999999994</v>
      </c>
      <c r="P18" s="3">
        <v>1.9999999999999983E-3</v>
      </c>
      <c r="Q18" s="18" t="s">
        <v>97</v>
      </c>
      <c r="R18" s="18" t="s">
        <v>80</v>
      </c>
      <c r="S18" s="3">
        <v>1.0999999999999999E-2</v>
      </c>
      <c r="T18" s="3">
        <v>2.5999999999999999E-2</v>
      </c>
      <c r="U18" s="3">
        <v>3.6999999999999998E-2</v>
      </c>
    </row>
    <row r="19" spans="1:21" ht="14.25" customHeight="1">
      <c r="A19" s="270" t="s">
        <v>94</v>
      </c>
      <c r="B19" s="17" t="s">
        <v>89</v>
      </c>
      <c r="C19" s="17" t="s">
        <v>149</v>
      </c>
      <c r="D19" s="109">
        <v>-40.513017627870106</v>
      </c>
      <c r="E19" s="109">
        <v>-11.185062160141854</v>
      </c>
      <c r="F19" s="18">
        <v>2008</v>
      </c>
      <c r="G19" s="19" t="s">
        <v>90</v>
      </c>
      <c r="H19" s="18" t="s">
        <v>177</v>
      </c>
      <c r="I19" s="17" t="s">
        <v>91</v>
      </c>
      <c r="J19" s="18" t="s">
        <v>81</v>
      </c>
      <c r="K19" s="158">
        <v>1500</v>
      </c>
      <c r="L19" s="18">
        <v>1.2E-2</v>
      </c>
      <c r="M19" s="18" t="s">
        <v>80</v>
      </c>
      <c r="N19" s="18" t="s">
        <v>88</v>
      </c>
      <c r="O19" s="10">
        <f>(18.4+2+5+8+1.6)/5</f>
        <v>7</v>
      </c>
      <c r="P19" s="3">
        <v>3.0000000000000027E-3</v>
      </c>
      <c r="Q19" s="18" t="s">
        <v>97</v>
      </c>
      <c r="R19" s="18" t="s">
        <v>80</v>
      </c>
      <c r="S19" s="3">
        <v>2.8000000000000001E-2</v>
      </c>
      <c r="T19" s="3">
        <v>4.9000000000000002E-2</v>
      </c>
      <c r="U19" s="3">
        <v>6.2E-2</v>
      </c>
    </row>
    <row r="20" spans="1:21" ht="14.25" customHeight="1">
      <c r="A20" s="138" t="s">
        <v>6</v>
      </c>
      <c r="B20" s="17" t="s">
        <v>89</v>
      </c>
      <c r="C20" s="17" t="s">
        <v>150</v>
      </c>
      <c r="D20" s="109">
        <v>-38.488061484007851</v>
      </c>
      <c r="E20" s="109">
        <v>-13.014771911532753</v>
      </c>
      <c r="F20" s="18">
        <v>2008</v>
      </c>
      <c r="G20" s="19" t="s">
        <v>90</v>
      </c>
      <c r="H20" s="18" t="s">
        <v>177</v>
      </c>
      <c r="I20" s="17" t="s">
        <v>91</v>
      </c>
      <c r="J20" s="18" t="s">
        <v>81</v>
      </c>
      <c r="K20" s="158">
        <v>1200</v>
      </c>
      <c r="L20" s="18">
        <v>1.2E-2</v>
      </c>
      <c r="M20" s="18" t="s">
        <v>80</v>
      </c>
      <c r="N20" s="18" t="s">
        <v>88</v>
      </c>
      <c r="O20" s="10">
        <f>(28.9+13.8+14)/3</f>
        <v>18.900000000000002</v>
      </c>
      <c r="P20" s="3">
        <v>2.9999999999999957E-3</v>
      </c>
      <c r="Q20" s="18" t="s">
        <v>97</v>
      </c>
      <c r="R20" s="18" t="s">
        <v>80</v>
      </c>
      <c r="S20" s="3">
        <v>2.8000000000000001E-2</v>
      </c>
      <c r="T20" s="3">
        <v>5.2999999999999999E-2</v>
      </c>
      <c r="U20" s="3">
        <v>6.8000000000000005E-2</v>
      </c>
    </row>
    <row r="21" spans="1:21" ht="14.25" customHeight="1" thickBot="1">
      <c r="A21" s="11" t="s">
        <v>94</v>
      </c>
      <c r="B21" s="21" t="s">
        <v>89</v>
      </c>
      <c r="C21" s="21" t="s">
        <v>135</v>
      </c>
      <c r="D21" s="110">
        <v>-48.037211274124623</v>
      </c>
      <c r="E21" s="110">
        <v>-16.056078214198152</v>
      </c>
      <c r="F21" s="21">
        <v>2008</v>
      </c>
      <c r="G21" s="22" t="s">
        <v>90</v>
      </c>
      <c r="H21" s="21" t="s">
        <v>177</v>
      </c>
      <c r="I21" s="21" t="s">
        <v>91</v>
      </c>
      <c r="J21" s="21" t="s">
        <v>81</v>
      </c>
      <c r="K21" s="11">
        <v>1200</v>
      </c>
      <c r="L21" s="21">
        <v>1.2E-2</v>
      </c>
      <c r="M21" s="21" t="s">
        <v>80</v>
      </c>
      <c r="N21" s="21" t="s">
        <v>88</v>
      </c>
      <c r="O21" s="30">
        <f>(100+82.3+87.5+99.5+89.6)/5</f>
        <v>91.78</v>
      </c>
      <c r="P21" s="13">
        <v>1.0000000000000009E-3</v>
      </c>
      <c r="Q21" s="21" t="s">
        <v>97</v>
      </c>
      <c r="R21" s="21" t="s">
        <v>80</v>
      </c>
      <c r="S21" s="13">
        <v>7.4999999999999997E-3</v>
      </c>
      <c r="T21" s="13">
        <v>1.4E-2</v>
      </c>
      <c r="U21" s="13">
        <v>1.9E-2</v>
      </c>
    </row>
    <row r="22" spans="1:21" ht="14.25" customHeight="1">
      <c r="A22" s="18" t="s">
        <v>94</v>
      </c>
      <c r="B22" s="17" t="s">
        <v>89</v>
      </c>
      <c r="C22" s="20" t="s">
        <v>124</v>
      </c>
      <c r="D22" s="261"/>
      <c r="E22" s="262"/>
      <c r="F22" s="18">
        <v>2008</v>
      </c>
      <c r="G22" s="19" t="s">
        <v>90</v>
      </c>
      <c r="H22" s="18" t="s">
        <v>177</v>
      </c>
      <c r="I22" s="17" t="s">
        <v>91</v>
      </c>
      <c r="J22" s="158" t="s">
        <v>92</v>
      </c>
      <c r="K22" s="18">
        <v>1200</v>
      </c>
      <c r="L22" s="158">
        <v>0.01</v>
      </c>
      <c r="M22" s="18" t="s">
        <v>80</v>
      </c>
      <c r="N22" s="18" t="s">
        <v>88</v>
      </c>
      <c r="O22" s="50">
        <v>100</v>
      </c>
      <c r="P22" s="47">
        <v>2.9999999999999992E-4</v>
      </c>
      <c r="Q22" s="18" t="s">
        <v>88</v>
      </c>
      <c r="R22" s="18" t="s">
        <v>80</v>
      </c>
      <c r="S22" s="4">
        <v>2.2000000000000001E-3</v>
      </c>
      <c r="T22" s="4">
        <v>3.8999999999999998E-3</v>
      </c>
      <c r="U22" s="4">
        <v>4.7999999999999996E-3</v>
      </c>
    </row>
    <row r="23" spans="1:21" ht="14.25" customHeight="1">
      <c r="A23" s="18" t="s">
        <v>94</v>
      </c>
      <c r="B23" s="17" t="s">
        <v>89</v>
      </c>
      <c r="C23" s="18" t="s">
        <v>100</v>
      </c>
      <c r="D23" s="109">
        <v>-50.439226072752582</v>
      </c>
      <c r="E23" s="109">
        <v>-21.205476000000004</v>
      </c>
      <c r="F23" s="18">
        <v>2008</v>
      </c>
      <c r="G23" s="19" t="s">
        <v>90</v>
      </c>
      <c r="H23" s="18" t="s">
        <v>177</v>
      </c>
      <c r="I23" s="17" t="s">
        <v>91</v>
      </c>
      <c r="J23" s="158" t="s">
        <v>92</v>
      </c>
      <c r="K23" s="18">
        <v>1500</v>
      </c>
      <c r="L23" s="158">
        <v>0.01</v>
      </c>
      <c r="M23" s="18" t="s">
        <v>80</v>
      </c>
      <c r="N23" s="17" t="s">
        <v>88</v>
      </c>
      <c r="O23" s="10">
        <f>(97+90.2+99.5+90.5+100)/5</f>
        <v>95.44</v>
      </c>
      <c r="P23" s="3">
        <v>3.9999999999999931E-4</v>
      </c>
      <c r="Q23" s="17" t="s">
        <v>88</v>
      </c>
      <c r="R23" s="18" t="s">
        <v>80</v>
      </c>
      <c r="S23" s="4">
        <v>5.8999999999999999E-3</v>
      </c>
      <c r="T23" s="4">
        <v>9.1999999999999998E-3</v>
      </c>
      <c r="U23" s="4">
        <v>1.0999999999999999E-2</v>
      </c>
    </row>
    <row r="24" spans="1:21" ht="14.25" customHeight="1">
      <c r="A24" s="18" t="s">
        <v>94</v>
      </c>
      <c r="B24" s="17" t="s">
        <v>89</v>
      </c>
      <c r="C24" s="18" t="s">
        <v>101</v>
      </c>
      <c r="D24" s="109">
        <v>-48.567377839455055</v>
      </c>
      <c r="E24" s="109">
        <v>-20.558455515000002</v>
      </c>
      <c r="F24" s="18">
        <v>2008</v>
      </c>
      <c r="G24" s="19" t="s">
        <v>90</v>
      </c>
      <c r="H24" s="18" t="s">
        <v>177</v>
      </c>
      <c r="I24" s="17" t="s">
        <v>91</v>
      </c>
      <c r="J24" s="158" t="s">
        <v>92</v>
      </c>
      <c r="K24" s="18">
        <v>1500</v>
      </c>
      <c r="L24" s="158">
        <v>0.01</v>
      </c>
      <c r="M24" s="18" t="s">
        <v>80</v>
      </c>
      <c r="N24" s="17" t="s">
        <v>88</v>
      </c>
      <c r="O24" s="10">
        <f>(84+100+63.6+88.5+89.1)/5</f>
        <v>85.04</v>
      </c>
      <c r="P24" s="3">
        <v>9.9999999999999915E-4</v>
      </c>
      <c r="Q24" s="17" t="s">
        <v>88</v>
      </c>
      <c r="R24" s="18" t="s">
        <v>80</v>
      </c>
      <c r="S24" s="4">
        <v>6.7000000000000002E-3</v>
      </c>
      <c r="T24" s="4">
        <v>1.0999999999999999E-2</v>
      </c>
      <c r="U24" s="4">
        <v>1.2999999999999999E-2</v>
      </c>
    </row>
    <row r="25" spans="1:21" ht="14.25" customHeight="1">
      <c r="A25" s="18" t="s">
        <v>94</v>
      </c>
      <c r="B25" s="17" t="s">
        <v>89</v>
      </c>
      <c r="C25" s="17" t="s">
        <v>133</v>
      </c>
      <c r="D25" s="109">
        <v>-49.083000867090362</v>
      </c>
      <c r="E25" s="109">
        <v>-22.325122500000006</v>
      </c>
      <c r="F25" s="18">
        <v>2008</v>
      </c>
      <c r="G25" s="19" t="s">
        <v>90</v>
      </c>
      <c r="H25" s="18" t="s">
        <v>177</v>
      </c>
      <c r="I25" s="17" t="s">
        <v>91</v>
      </c>
      <c r="J25" s="158" t="s">
        <v>92</v>
      </c>
      <c r="K25" s="18">
        <v>1500</v>
      </c>
      <c r="L25" s="158">
        <v>0.01</v>
      </c>
      <c r="M25" s="18" t="s">
        <v>80</v>
      </c>
      <c r="N25" s="17" t="s">
        <v>88</v>
      </c>
      <c r="O25" s="10">
        <f>(98+97.5+96+100+97.9)/5</f>
        <v>97.88</v>
      </c>
      <c r="P25" s="3">
        <v>7.000000000000001E-4</v>
      </c>
      <c r="Q25" s="17" t="s">
        <v>88</v>
      </c>
      <c r="R25" s="18" t="s">
        <v>80</v>
      </c>
      <c r="S25" s="4">
        <v>5.0000000000000001E-3</v>
      </c>
      <c r="T25" s="4">
        <v>8.0000000000000002E-3</v>
      </c>
      <c r="U25" s="4">
        <v>9.7000000000000003E-3</v>
      </c>
    </row>
    <row r="26" spans="1:21" ht="14.25" customHeight="1">
      <c r="A26" s="18" t="s">
        <v>94</v>
      </c>
      <c r="B26" s="17" t="s">
        <v>89</v>
      </c>
      <c r="C26" s="18" t="s">
        <v>103</v>
      </c>
      <c r="D26" s="109">
        <v>-48.441289384350434</v>
      </c>
      <c r="E26" s="109">
        <v>-22.888381500000008</v>
      </c>
      <c r="F26" s="18">
        <v>2008</v>
      </c>
      <c r="G26" s="19" t="s">
        <v>90</v>
      </c>
      <c r="H26" s="18" t="s">
        <v>177</v>
      </c>
      <c r="I26" s="17" t="s">
        <v>91</v>
      </c>
      <c r="J26" s="158" t="s">
        <v>92</v>
      </c>
      <c r="K26" s="18">
        <v>1200</v>
      </c>
      <c r="L26" s="158">
        <v>0.01</v>
      </c>
      <c r="M26" s="18" t="s">
        <v>80</v>
      </c>
      <c r="N26" s="17" t="s">
        <v>88</v>
      </c>
      <c r="O26" s="10">
        <f>(99.5+98.5+99.5+99)/4</f>
        <v>99.125</v>
      </c>
      <c r="P26" s="3">
        <v>4.9999999999999958E-4</v>
      </c>
      <c r="Q26" s="17" t="s">
        <v>88</v>
      </c>
      <c r="R26" s="18" t="s">
        <v>80</v>
      </c>
      <c r="S26" s="4">
        <v>3.7000000000000002E-3</v>
      </c>
      <c r="T26" s="4">
        <v>8.0999999999999996E-3</v>
      </c>
      <c r="U26" s="4">
        <v>1.0999999999999999E-2</v>
      </c>
    </row>
    <row r="27" spans="1:21" ht="14.25" customHeight="1">
      <c r="A27" s="18" t="s">
        <v>94</v>
      </c>
      <c r="B27" s="17" t="s">
        <v>89</v>
      </c>
      <c r="C27" s="18" t="s">
        <v>134</v>
      </c>
      <c r="D27" s="109">
        <v>-47.299749835960981</v>
      </c>
      <c r="E27" s="109">
        <v>-23.265442500000002</v>
      </c>
      <c r="F27" s="18">
        <v>2008</v>
      </c>
      <c r="G27" s="19" t="s">
        <v>90</v>
      </c>
      <c r="H27" s="18" t="s">
        <v>177</v>
      </c>
      <c r="I27" s="17" t="s">
        <v>91</v>
      </c>
      <c r="J27" s="158" t="s">
        <v>92</v>
      </c>
      <c r="K27" s="18">
        <v>1500</v>
      </c>
      <c r="L27" s="158">
        <v>0.01</v>
      </c>
      <c r="M27" s="18" t="s">
        <v>80</v>
      </c>
      <c r="N27" s="17" t="s">
        <v>88</v>
      </c>
      <c r="O27" s="10">
        <f>(98.5+97.5+100+81.5+82)/5</f>
        <v>91.9</v>
      </c>
      <c r="P27" s="3">
        <v>4.0000000000000105E-4</v>
      </c>
      <c r="Q27" s="17" t="s">
        <v>88</v>
      </c>
      <c r="R27" s="18" t="s">
        <v>80</v>
      </c>
      <c r="S27" s="4">
        <v>5.1000000000000004E-3</v>
      </c>
      <c r="T27" s="4">
        <v>8.8000000000000005E-3</v>
      </c>
      <c r="U27" s="4">
        <v>1.0999999999999999E-2</v>
      </c>
    </row>
    <row r="28" spans="1:21" ht="14.25" customHeight="1">
      <c r="A28" s="18" t="s">
        <v>94</v>
      </c>
      <c r="B28" s="17" t="s">
        <v>89</v>
      </c>
      <c r="C28" s="18" t="s">
        <v>95</v>
      </c>
      <c r="D28" s="109">
        <v>-46.570383182112749</v>
      </c>
      <c r="E28" s="109">
        <v>-23.567386500000001</v>
      </c>
      <c r="F28" s="18">
        <v>2008</v>
      </c>
      <c r="G28" s="19" t="s">
        <v>90</v>
      </c>
      <c r="H28" s="18" t="s">
        <v>177</v>
      </c>
      <c r="I28" s="17" t="s">
        <v>91</v>
      </c>
      <c r="J28" s="158" t="s">
        <v>92</v>
      </c>
      <c r="K28" s="18">
        <v>1500</v>
      </c>
      <c r="L28" s="158">
        <v>0.01</v>
      </c>
      <c r="M28" s="18" t="s">
        <v>80</v>
      </c>
      <c r="N28" s="17" t="s">
        <v>88</v>
      </c>
      <c r="O28" s="10">
        <f>(99.5+100+97+89.5+100)/5</f>
        <v>97.2</v>
      </c>
      <c r="P28" s="3">
        <v>4.9999999999999871E-4</v>
      </c>
      <c r="Q28" s="17" t="s">
        <v>88</v>
      </c>
      <c r="R28" s="18" t="s">
        <v>80</v>
      </c>
      <c r="S28" s="4">
        <v>5.1000000000000004E-3</v>
      </c>
      <c r="T28" s="4">
        <v>8.9999999999999993E-3</v>
      </c>
      <c r="U28" s="4">
        <v>1.0999999999999999E-2</v>
      </c>
    </row>
    <row r="29" spans="1:21" ht="14.25" customHeight="1">
      <c r="A29" s="18" t="s">
        <v>94</v>
      </c>
      <c r="B29" s="17" t="s">
        <v>89</v>
      </c>
      <c r="C29" s="18" t="s">
        <v>108</v>
      </c>
      <c r="D29" s="109">
        <v>-51.386765581912492</v>
      </c>
      <c r="E29" s="109">
        <v>-22.122743500000002</v>
      </c>
      <c r="F29" s="18">
        <v>2008</v>
      </c>
      <c r="G29" s="19" t="s">
        <v>90</v>
      </c>
      <c r="H29" s="18" t="s">
        <v>177</v>
      </c>
      <c r="I29" s="17" t="s">
        <v>91</v>
      </c>
      <c r="J29" s="158" t="s">
        <v>92</v>
      </c>
      <c r="K29" s="18">
        <v>1500</v>
      </c>
      <c r="L29" s="158">
        <v>0.01</v>
      </c>
      <c r="M29" s="18" t="s">
        <v>80</v>
      </c>
      <c r="N29" s="17" t="s">
        <v>88</v>
      </c>
      <c r="O29" s="10">
        <f>(100+100+82+100+99.5)/5</f>
        <v>96.3</v>
      </c>
      <c r="P29" s="3">
        <v>4.9999999999999871E-4</v>
      </c>
      <c r="Q29" s="17" t="s">
        <v>88</v>
      </c>
      <c r="R29" s="18" t="s">
        <v>80</v>
      </c>
      <c r="S29" s="4">
        <v>4.5999999999999999E-3</v>
      </c>
      <c r="T29" s="4">
        <v>8.6999999999999994E-3</v>
      </c>
      <c r="U29" s="4">
        <v>1.0999999999999999E-2</v>
      </c>
    </row>
    <row r="30" spans="1:21" ht="14.25" customHeight="1">
      <c r="A30" s="18" t="s">
        <v>94</v>
      </c>
      <c r="B30" s="17" t="s">
        <v>89</v>
      </c>
      <c r="C30" s="18" t="s">
        <v>109</v>
      </c>
      <c r="D30" s="109">
        <v>-47.805475915541528</v>
      </c>
      <c r="E30" s="109">
        <v>-21.184834500000004</v>
      </c>
      <c r="F30" s="18">
        <v>2008</v>
      </c>
      <c r="G30" s="19" t="s">
        <v>90</v>
      </c>
      <c r="H30" s="18" t="s">
        <v>177</v>
      </c>
      <c r="I30" s="17" t="s">
        <v>91</v>
      </c>
      <c r="J30" s="158" t="s">
        <v>92</v>
      </c>
      <c r="K30" s="18">
        <v>1200</v>
      </c>
      <c r="L30" s="158">
        <v>0.01</v>
      </c>
      <c r="M30" s="18" t="s">
        <v>80</v>
      </c>
      <c r="N30" s="17" t="s">
        <v>88</v>
      </c>
      <c r="O30" s="10">
        <f>(97.5+99.4+89+84.1)/4</f>
        <v>92.5</v>
      </c>
      <c r="P30" s="3">
        <v>6.9999999999999923E-4</v>
      </c>
      <c r="Q30" s="17" t="s">
        <v>88</v>
      </c>
      <c r="R30" s="18" t="s">
        <v>80</v>
      </c>
      <c r="S30" s="4">
        <v>5.4000000000000003E-3</v>
      </c>
      <c r="T30" s="4">
        <v>9.4999999999999998E-3</v>
      </c>
      <c r="U30" s="4">
        <v>1.2E-2</v>
      </c>
    </row>
    <row r="31" spans="1:21" ht="14.25" customHeight="1">
      <c r="A31" s="18" t="s">
        <v>94</v>
      </c>
      <c r="B31" s="17" t="s">
        <v>89</v>
      </c>
      <c r="C31" s="18" t="s">
        <v>127</v>
      </c>
      <c r="D31" s="109">
        <v>-46.922092505649722</v>
      </c>
      <c r="E31" s="109">
        <v>-23.449453000000005</v>
      </c>
      <c r="F31" s="18">
        <v>2008</v>
      </c>
      <c r="G31" s="19" t="s">
        <v>90</v>
      </c>
      <c r="H31" s="18" t="s">
        <v>177</v>
      </c>
      <c r="I31" s="17" t="s">
        <v>91</v>
      </c>
      <c r="J31" s="158" t="s">
        <v>92</v>
      </c>
      <c r="K31" s="18">
        <v>1200</v>
      </c>
      <c r="L31" s="158">
        <v>0.01</v>
      </c>
      <c r="M31" s="18" t="s">
        <v>80</v>
      </c>
      <c r="N31" s="17" t="s">
        <v>88</v>
      </c>
      <c r="O31" s="10">
        <f>(99.5+100+100+95)/4</f>
        <v>98.625</v>
      </c>
      <c r="P31" s="3">
        <v>9.0000000000000063E-4</v>
      </c>
      <c r="Q31" s="17" t="s">
        <v>88</v>
      </c>
      <c r="R31" s="18" t="s">
        <v>80</v>
      </c>
      <c r="S31" s="4">
        <v>4.3E-3</v>
      </c>
      <c r="T31" s="4">
        <v>7.7000000000000002E-3</v>
      </c>
      <c r="U31" s="4">
        <v>9.9000000000000008E-3</v>
      </c>
    </row>
    <row r="32" spans="1:21" ht="14.25" customHeight="1">
      <c r="A32" s="18" t="s">
        <v>94</v>
      </c>
      <c r="B32" s="17" t="s">
        <v>89</v>
      </c>
      <c r="C32" s="18" t="s">
        <v>110</v>
      </c>
      <c r="D32" s="109">
        <v>-46.331370849190684</v>
      </c>
      <c r="E32" s="109">
        <v>-23.933737500000003</v>
      </c>
      <c r="F32" s="18">
        <v>2008</v>
      </c>
      <c r="G32" s="19" t="s">
        <v>90</v>
      </c>
      <c r="H32" s="18" t="s">
        <v>177</v>
      </c>
      <c r="I32" s="17" t="s">
        <v>91</v>
      </c>
      <c r="J32" s="158" t="s">
        <v>92</v>
      </c>
      <c r="K32" s="18">
        <v>1200</v>
      </c>
      <c r="L32" s="158">
        <v>0.01</v>
      </c>
      <c r="M32" s="18" t="s">
        <v>80</v>
      </c>
      <c r="N32" s="17" t="s">
        <v>88</v>
      </c>
      <c r="O32" s="10">
        <f>(97+91.5+99.5+92.3)/4</f>
        <v>95.075000000000003</v>
      </c>
      <c r="P32" s="3">
        <v>9.0000000000000149E-4</v>
      </c>
      <c r="Q32" s="17" t="s">
        <v>88</v>
      </c>
      <c r="R32" s="18" t="s">
        <v>80</v>
      </c>
      <c r="S32" s="4">
        <v>5.1999999999999998E-3</v>
      </c>
      <c r="T32" s="4">
        <v>9.9000000000000008E-3</v>
      </c>
      <c r="U32" s="4">
        <v>1.2999999999999999E-2</v>
      </c>
    </row>
    <row r="33" spans="1:22" ht="14.25" customHeight="1">
      <c r="A33" s="18" t="s">
        <v>94</v>
      </c>
      <c r="B33" s="17" t="s">
        <v>89</v>
      </c>
      <c r="C33" s="17" t="s">
        <v>111</v>
      </c>
      <c r="D33" s="109">
        <v>-47.889237684691636</v>
      </c>
      <c r="E33" s="109">
        <v>-22.015998500000002</v>
      </c>
      <c r="F33" s="18">
        <v>2008</v>
      </c>
      <c r="G33" s="19" t="s">
        <v>90</v>
      </c>
      <c r="H33" s="18" t="s">
        <v>177</v>
      </c>
      <c r="I33" s="17" t="s">
        <v>91</v>
      </c>
      <c r="J33" s="158" t="s">
        <v>92</v>
      </c>
      <c r="K33" s="18">
        <v>900</v>
      </c>
      <c r="L33" s="158">
        <v>0.01</v>
      </c>
      <c r="M33" s="18" t="s">
        <v>80</v>
      </c>
      <c r="N33" s="17" t="s">
        <v>88</v>
      </c>
      <c r="O33" s="10">
        <f>(99+96+99)/3</f>
        <v>98</v>
      </c>
      <c r="P33" s="3">
        <v>4.0000000000000018E-4</v>
      </c>
      <c r="Q33" s="17" t="s">
        <v>88</v>
      </c>
      <c r="R33" s="18" t="s">
        <v>80</v>
      </c>
      <c r="S33" s="4">
        <v>3.5999999999999999E-3</v>
      </c>
      <c r="T33" s="4">
        <v>7.0000000000000001E-3</v>
      </c>
      <c r="U33" s="4">
        <v>9.2999999999999992E-3</v>
      </c>
    </row>
    <row r="34" spans="1:22" ht="14.25" customHeight="1">
      <c r="A34" s="18" t="s">
        <v>94</v>
      </c>
      <c r="B34" s="17" t="s">
        <v>89</v>
      </c>
      <c r="C34" s="17" t="s">
        <v>131</v>
      </c>
      <c r="D34" s="109">
        <v>-49.381347685025794</v>
      </c>
      <c r="E34" s="109">
        <v>-20.812636500000004</v>
      </c>
      <c r="F34" s="18">
        <v>2008</v>
      </c>
      <c r="G34" s="19" t="s">
        <v>90</v>
      </c>
      <c r="H34" s="18" t="s">
        <v>177</v>
      </c>
      <c r="I34" s="17" t="s">
        <v>91</v>
      </c>
      <c r="J34" s="158" t="s">
        <v>92</v>
      </c>
      <c r="K34" s="18">
        <v>1500</v>
      </c>
      <c r="L34" s="158">
        <v>0.01</v>
      </c>
      <c r="M34" s="18" t="s">
        <v>80</v>
      </c>
      <c r="N34" s="17" t="s">
        <v>88</v>
      </c>
      <c r="O34" s="10">
        <f>(92+88.9+99.4+96+77)/5</f>
        <v>90.66</v>
      </c>
      <c r="P34" s="4">
        <v>7.0000000000000097E-4</v>
      </c>
      <c r="Q34" s="17" t="s">
        <v>88</v>
      </c>
      <c r="R34" s="18" t="s">
        <v>80</v>
      </c>
      <c r="S34" s="4">
        <v>4.7999999999999996E-3</v>
      </c>
      <c r="T34" s="4">
        <v>9.9000000000000008E-3</v>
      </c>
      <c r="U34" s="4">
        <v>1.2999999999999999E-2</v>
      </c>
    </row>
    <row r="35" spans="1:22" ht="14.25" customHeight="1">
      <c r="A35" s="18" t="s">
        <v>94</v>
      </c>
      <c r="B35" s="17" t="s">
        <v>89</v>
      </c>
      <c r="C35" s="17" t="s">
        <v>113</v>
      </c>
      <c r="D35" s="109">
        <v>-45.402680140543957</v>
      </c>
      <c r="E35" s="109">
        <v>-23.806687652148753</v>
      </c>
      <c r="F35" s="18">
        <v>2008</v>
      </c>
      <c r="G35" s="19" t="s">
        <v>90</v>
      </c>
      <c r="H35" s="18" t="s">
        <v>177</v>
      </c>
      <c r="I35" s="17" t="s">
        <v>91</v>
      </c>
      <c r="J35" s="158" t="s">
        <v>92</v>
      </c>
      <c r="K35" s="18">
        <v>1200</v>
      </c>
      <c r="L35" s="158">
        <v>0.01</v>
      </c>
      <c r="M35" s="18" t="s">
        <v>80</v>
      </c>
      <c r="N35" s="17" t="s">
        <v>88</v>
      </c>
      <c r="O35" s="10">
        <f>(94.2+99.5+98.3+97.2)/4</f>
        <v>97.3</v>
      </c>
      <c r="P35" s="4">
        <v>6.9999999999999923E-4</v>
      </c>
      <c r="Q35" s="17" t="s">
        <v>88</v>
      </c>
      <c r="R35" s="18" t="s">
        <v>80</v>
      </c>
      <c r="S35" s="4">
        <v>5.1000000000000004E-3</v>
      </c>
      <c r="T35" s="4">
        <v>9.1999999999999998E-3</v>
      </c>
      <c r="U35" s="4">
        <v>1.2E-2</v>
      </c>
    </row>
    <row r="36" spans="1:22" ht="14.25" customHeight="1">
      <c r="A36" s="18" t="s">
        <v>94</v>
      </c>
      <c r="B36" s="17" t="s">
        <v>89</v>
      </c>
      <c r="C36" s="158" t="s">
        <v>146</v>
      </c>
      <c r="D36" s="109">
        <v>-54.58710248860465</v>
      </c>
      <c r="E36" s="109">
        <v>-25.542493279529253</v>
      </c>
      <c r="F36" s="18">
        <v>2008</v>
      </c>
      <c r="G36" s="19" t="s">
        <v>90</v>
      </c>
      <c r="H36" s="18" t="s">
        <v>177</v>
      </c>
      <c r="I36" s="17" t="s">
        <v>91</v>
      </c>
      <c r="J36" s="158" t="s">
        <v>92</v>
      </c>
      <c r="K36" s="18">
        <v>1200</v>
      </c>
      <c r="L36" s="158">
        <v>0.01</v>
      </c>
      <c r="M36" s="18" t="s">
        <v>80</v>
      </c>
      <c r="N36" s="17" t="s">
        <v>88</v>
      </c>
      <c r="O36" s="5">
        <f>(100+100+100+100)/4</f>
        <v>100</v>
      </c>
      <c r="P36" s="4">
        <v>4.0000000000000105E-4</v>
      </c>
      <c r="Q36" s="17" t="s">
        <v>88</v>
      </c>
      <c r="R36" s="18" t="s">
        <v>80</v>
      </c>
      <c r="S36" s="4">
        <v>5.1999999999999998E-3</v>
      </c>
      <c r="T36" s="4">
        <v>8.5000000000000006E-3</v>
      </c>
      <c r="U36" s="4">
        <v>0.01</v>
      </c>
    </row>
    <row r="37" spans="1:22" ht="14.25" customHeight="1">
      <c r="A37" s="18" t="s">
        <v>94</v>
      </c>
      <c r="B37" s="17" t="s">
        <v>89</v>
      </c>
      <c r="C37" s="158" t="s">
        <v>147</v>
      </c>
      <c r="D37" s="109">
        <v>-51.939881870252066</v>
      </c>
      <c r="E37" s="109">
        <v>-23.422280000000004</v>
      </c>
      <c r="F37" s="18">
        <v>2008</v>
      </c>
      <c r="G37" s="19" t="s">
        <v>90</v>
      </c>
      <c r="H37" s="18" t="s">
        <v>177</v>
      </c>
      <c r="I37" s="17" t="s">
        <v>91</v>
      </c>
      <c r="J37" s="158" t="s">
        <v>92</v>
      </c>
      <c r="K37" s="18">
        <v>900</v>
      </c>
      <c r="L37" s="158">
        <v>0.01</v>
      </c>
      <c r="M37" s="18" t="s">
        <v>80</v>
      </c>
      <c r="N37" s="17" t="s">
        <v>88</v>
      </c>
      <c r="O37" s="10">
        <f>(94+83.5+86)/3</f>
        <v>87.833333333333329</v>
      </c>
      <c r="P37" s="3">
        <v>7.0000000000000097E-4</v>
      </c>
      <c r="Q37" s="17" t="s">
        <v>88</v>
      </c>
      <c r="R37" s="18" t="s">
        <v>80</v>
      </c>
      <c r="S37" s="4">
        <v>5.8999999999999999E-3</v>
      </c>
      <c r="T37" s="4">
        <v>0.01</v>
      </c>
      <c r="U37" s="4">
        <v>1.2999999999999999E-2</v>
      </c>
    </row>
    <row r="38" spans="1:22" ht="14.25" customHeight="1">
      <c r="A38" s="18" t="s">
        <v>94</v>
      </c>
      <c r="B38" s="17" t="s">
        <v>89</v>
      </c>
      <c r="C38" s="17" t="s">
        <v>148</v>
      </c>
      <c r="D38" s="109">
        <v>-45.004168437028525</v>
      </c>
      <c r="E38" s="109">
        <v>-12.144924888390602</v>
      </c>
      <c r="F38" s="18">
        <v>2008</v>
      </c>
      <c r="G38" s="19" t="s">
        <v>90</v>
      </c>
      <c r="H38" s="18" t="s">
        <v>177</v>
      </c>
      <c r="I38" s="17" t="s">
        <v>91</v>
      </c>
      <c r="J38" s="158" t="s">
        <v>92</v>
      </c>
      <c r="K38" s="18">
        <v>2100</v>
      </c>
      <c r="L38" s="158">
        <v>0.01</v>
      </c>
      <c r="M38" s="18" t="s">
        <v>80</v>
      </c>
      <c r="N38" s="17" t="s">
        <v>88</v>
      </c>
      <c r="O38" s="10">
        <f>(46.3+86+100+100+100+100+100)/7</f>
        <v>90.328571428571422</v>
      </c>
      <c r="P38" s="4">
        <v>1.1999999999999997E-3</v>
      </c>
      <c r="Q38" s="17" t="s">
        <v>88</v>
      </c>
      <c r="R38" s="18" t="s">
        <v>80</v>
      </c>
      <c r="S38" s="4">
        <v>5.3E-3</v>
      </c>
      <c r="T38" s="4">
        <v>1.0999999999999999E-2</v>
      </c>
      <c r="U38" s="4">
        <v>1.4E-2</v>
      </c>
      <c r="V38" s="41"/>
    </row>
    <row r="39" spans="1:22" ht="14.25" customHeight="1">
      <c r="A39" s="18" t="s">
        <v>94</v>
      </c>
      <c r="B39" s="17" t="s">
        <v>89</v>
      </c>
      <c r="C39" s="17" t="s">
        <v>149</v>
      </c>
      <c r="D39" s="109">
        <v>-40.513017627870106</v>
      </c>
      <c r="E39" s="109">
        <v>-11.185062160141854</v>
      </c>
      <c r="F39" s="18">
        <v>2008</v>
      </c>
      <c r="G39" s="19" t="s">
        <v>90</v>
      </c>
      <c r="H39" s="18" t="s">
        <v>177</v>
      </c>
      <c r="I39" s="17" t="s">
        <v>91</v>
      </c>
      <c r="J39" s="158" t="s">
        <v>92</v>
      </c>
      <c r="K39" s="18">
        <v>1500</v>
      </c>
      <c r="L39" s="158">
        <v>0.01</v>
      </c>
      <c r="M39" s="18" t="s">
        <v>80</v>
      </c>
      <c r="N39" s="17" t="s">
        <v>88</v>
      </c>
      <c r="O39" s="10">
        <f>(68.3+69.5+91+90.5)/4</f>
        <v>79.825000000000003</v>
      </c>
      <c r="P39" s="4">
        <v>1.0000000000000009E-3</v>
      </c>
      <c r="Q39" s="17" t="s">
        <v>88</v>
      </c>
      <c r="R39" s="18" t="s">
        <v>80</v>
      </c>
      <c r="S39" s="4">
        <v>8.8999999999999999E-3</v>
      </c>
      <c r="T39" s="4">
        <v>1.6E-2</v>
      </c>
      <c r="U39" s="4">
        <v>0.02</v>
      </c>
      <c r="V39" s="41"/>
    </row>
    <row r="40" spans="1:22" ht="14.25" customHeight="1">
      <c r="A40" s="18" t="s">
        <v>94</v>
      </c>
      <c r="B40" s="17" t="s">
        <v>89</v>
      </c>
      <c r="C40" s="17" t="s">
        <v>150</v>
      </c>
      <c r="D40" s="109">
        <v>-38.488061484007851</v>
      </c>
      <c r="E40" s="109">
        <v>-13.014771911532753</v>
      </c>
      <c r="F40" s="18">
        <v>2008</v>
      </c>
      <c r="G40" s="19" t="s">
        <v>90</v>
      </c>
      <c r="H40" s="18" t="s">
        <v>177</v>
      </c>
      <c r="I40" s="17" t="s">
        <v>91</v>
      </c>
      <c r="J40" s="158" t="s">
        <v>92</v>
      </c>
      <c r="K40" s="18">
        <v>1500</v>
      </c>
      <c r="L40" s="158">
        <v>0.01</v>
      </c>
      <c r="M40" s="18" t="s">
        <v>80</v>
      </c>
      <c r="N40" s="17" t="s">
        <v>88</v>
      </c>
      <c r="O40" s="10">
        <f>(95.5+80+82.4+98.9+95)/5</f>
        <v>90.359999999999985</v>
      </c>
      <c r="P40" s="4">
        <v>1E-3</v>
      </c>
      <c r="Q40" s="17" t="s">
        <v>88</v>
      </c>
      <c r="R40" s="18" t="s">
        <v>80</v>
      </c>
      <c r="S40" s="4">
        <v>7.1999999999999998E-3</v>
      </c>
      <c r="T40" s="4">
        <v>1.2999999999999999E-2</v>
      </c>
      <c r="U40" s="4">
        <v>1.7999999999999999E-2</v>
      </c>
    </row>
    <row r="41" spans="1:22" ht="14.25" customHeight="1" thickBot="1">
      <c r="A41" s="21" t="s">
        <v>94</v>
      </c>
      <c r="B41" s="21" t="s">
        <v>89</v>
      </c>
      <c r="C41" s="21" t="s">
        <v>135</v>
      </c>
      <c r="D41" s="110">
        <v>-48.037211274124623</v>
      </c>
      <c r="E41" s="110">
        <v>-16.056078214198152</v>
      </c>
      <c r="F41" s="21">
        <v>2008</v>
      </c>
      <c r="G41" s="22" t="s">
        <v>90</v>
      </c>
      <c r="H41" s="21" t="s">
        <v>177</v>
      </c>
      <c r="I41" s="21" t="s">
        <v>91</v>
      </c>
      <c r="J41" s="11" t="s">
        <v>92</v>
      </c>
      <c r="K41" s="21">
        <v>900</v>
      </c>
      <c r="L41" s="11">
        <v>0.01</v>
      </c>
      <c r="M41" s="21" t="s">
        <v>80</v>
      </c>
      <c r="N41" s="21" t="s">
        <v>88</v>
      </c>
      <c r="O41" s="30">
        <f>(89.8+99.4+99)/3</f>
        <v>96.066666666666663</v>
      </c>
      <c r="P41" s="13">
        <v>1.1999999999999997E-3</v>
      </c>
      <c r="Q41" s="21" t="s">
        <v>88</v>
      </c>
      <c r="R41" s="21" t="s">
        <v>80</v>
      </c>
      <c r="S41" s="29">
        <v>4.0000000000000001E-3</v>
      </c>
      <c r="T41" s="29">
        <v>8.6E-3</v>
      </c>
      <c r="U41" s="29">
        <v>1.2E-2</v>
      </c>
    </row>
    <row r="42" spans="1:22" ht="14.25" customHeight="1">
      <c r="A42" s="18" t="s">
        <v>94</v>
      </c>
      <c r="B42" s="17" t="s">
        <v>89</v>
      </c>
      <c r="C42" s="20" t="s">
        <v>124</v>
      </c>
      <c r="D42" s="261"/>
      <c r="E42" s="262"/>
      <c r="F42" s="18">
        <v>2008</v>
      </c>
      <c r="G42" s="19" t="s">
        <v>90</v>
      </c>
      <c r="H42" s="18" t="s">
        <v>177</v>
      </c>
      <c r="I42" s="17" t="s">
        <v>91</v>
      </c>
      <c r="J42" s="158" t="s">
        <v>93</v>
      </c>
      <c r="K42" s="158">
        <v>1200</v>
      </c>
      <c r="L42" s="158">
        <v>0.2</v>
      </c>
      <c r="M42" s="18" t="s">
        <v>80</v>
      </c>
      <c r="N42" s="17" t="s">
        <v>88</v>
      </c>
      <c r="O42" s="76">
        <v>100</v>
      </c>
      <c r="P42" s="47">
        <v>3.0000000000000027E-3</v>
      </c>
      <c r="Q42" s="17" t="s">
        <v>88</v>
      </c>
      <c r="R42" s="18" t="s">
        <v>80</v>
      </c>
      <c r="S42" s="3">
        <v>2.7E-2</v>
      </c>
      <c r="T42" s="3">
        <v>6.3E-2</v>
      </c>
      <c r="U42" s="3">
        <v>0.09</v>
      </c>
    </row>
    <row r="43" spans="1:22" ht="14.25" customHeight="1">
      <c r="A43" s="18" t="s">
        <v>94</v>
      </c>
      <c r="B43" s="17" t="s">
        <v>89</v>
      </c>
      <c r="C43" s="18" t="s">
        <v>100</v>
      </c>
      <c r="D43" s="109">
        <v>-50.439226072752582</v>
      </c>
      <c r="E43" s="109">
        <v>-21.205476000000004</v>
      </c>
      <c r="F43" s="18">
        <v>2008</v>
      </c>
      <c r="G43" s="19" t="s">
        <v>90</v>
      </c>
      <c r="H43" s="18" t="s">
        <v>177</v>
      </c>
      <c r="I43" s="17" t="s">
        <v>91</v>
      </c>
      <c r="J43" s="158" t="s">
        <v>93</v>
      </c>
      <c r="K43" s="18">
        <v>1800</v>
      </c>
      <c r="L43" s="158">
        <v>0.2</v>
      </c>
      <c r="M43" s="18" t="s">
        <v>80</v>
      </c>
      <c r="N43" s="17" t="s">
        <v>88</v>
      </c>
      <c r="O43" s="10">
        <v>99.166666666666671</v>
      </c>
      <c r="P43" s="3">
        <v>1.0000000000000009E-2</v>
      </c>
      <c r="Q43" s="17" t="s">
        <v>88</v>
      </c>
      <c r="R43" s="18" t="s">
        <v>80</v>
      </c>
      <c r="S43" s="4">
        <v>7.5999999999999998E-2</v>
      </c>
      <c r="T43" s="4">
        <v>0.13</v>
      </c>
      <c r="U43" s="4">
        <v>0.16</v>
      </c>
    </row>
    <row r="44" spans="1:22" ht="14.25" customHeight="1">
      <c r="A44" s="18" t="s">
        <v>94</v>
      </c>
      <c r="B44" s="17" t="s">
        <v>89</v>
      </c>
      <c r="C44" s="18" t="s">
        <v>101</v>
      </c>
      <c r="D44" s="109">
        <v>-48.567377839455055</v>
      </c>
      <c r="E44" s="109">
        <v>-20.558455515000002</v>
      </c>
      <c r="F44" s="18">
        <v>2008</v>
      </c>
      <c r="G44" s="19" t="s">
        <v>90</v>
      </c>
      <c r="H44" s="18" t="s">
        <v>177</v>
      </c>
      <c r="I44" s="17" t="s">
        <v>91</v>
      </c>
      <c r="J44" s="158" t="s">
        <v>93</v>
      </c>
      <c r="K44" s="18">
        <v>1200</v>
      </c>
      <c r="L44" s="158">
        <v>0.2</v>
      </c>
      <c r="M44" s="18" t="s">
        <v>80</v>
      </c>
      <c r="N44" s="17" t="s">
        <v>88</v>
      </c>
      <c r="O44" s="17">
        <v>100</v>
      </c>
      <c r="P44" s="3">
        <v>6.9999999999999923E-3</v>
      </c>
      <c r="Q44" s="17" t="s">
        <v>88</v>
      </c>
      <c r="R44" s="18" t="s">
        <v>80</v>
      </c>
      <c r="S44" s="4">
        <v>6.7000000000000004E-2</v>
      </c>
      <c r="T44" s="4">
        <v>0.124</v>
      </c>
      <c r="U44" s="4">
        <v>0.159</v>
      </c>
    </row>
    <row r="45" spans="1:22" ht="14.25" customHeight="1">
      <c r="A45" s="18" t="s">
        <v>94</v>
      </c>
      <c r="B45" s="17" t="s">
        <v>89</v>
      </c>
      <c r="C45" s="17" t="s">
        <v>133</v>
      </c>
      <c r="D45" s="109">
        <v>-49.083000867090362</v>
      </c>
      <c r="E45" s="109">
        <v>-22.325122500000006</v>
      </c>
      <c r="F45" s="18">
        <v>2008</v>
      </c>
      <c r="G45" s="19" t="s">
        <v>90</v>
      </c>
      <c r="H45" s="18" t="s">
        <v>177</v>
      </c>
      <c r="I45" s="17" t="s">
        <v>91</v>
      </c>
      <c r="J45" s="158" t="s">
        <v>93</v>
      </c>
      <c r="K45" s="18">
        <v>1800</v>
      </c>
      <c r="L45" s="158">
        <v>0.2</v>
      </c>
      <c r="M45" s="18" t="s">
        <v>80</v>
      </c>
      <c r="N45" s="17" t="s">
        <v>88</v>
      </c>
      <c r="O45" s="10">
        <v>99.733333333333334</v>
      </c>
      <c r="P45" s="3">
        <v>1.0000000000000009E-2</v>
      </c>
      <c r="Q45" s="17" t="s">
        <v>88</v>
      </c>
      <c r="R45" s="18" t="s">
        <v>80</v>
      </c>
      <c r="S45" s="4">
        <v>6.8000000000000005E-2</v>
      </c>
      <c r="T45" s="4">
        <v>0.13</v>
      </c>
      <c r="U45" s="4">
        <v>0.17</v>
      </c>
    </row>
    <row r="46" spans="1:22" ht="14.25" customHeight="1">
      <c r="A46" s="18" t="s">
        <v>94</v>
      </c>
      <c r="B46" s="17" t="s">
        <v>89</v>
      </c>
      <c r="C46" s="18" t="s">
        <v>103</v>
      </c>
      <c r="D46" s="109">
        <v>-48.441289384350434</v>
      </c>
      <c r="E46" s="109">
        <v>-22.888381500000008</v>
      </c>
      <c r="F46" s="18">
        <v>2008</v>
      </c>
      <c r="G46" s="19" t="s">
        <v>90</v>
      </c>
      <c r="H46" s="18" t="s">
        <v>177</v>
      </c>
      <c r="I46" s="17" t="s">
        <v>91</v>
      </c>
      <c r="J46" s="158" t="s">
        <v>93</v>
      </c>
      <c r="K46" s="18">
        <v>1200</v>
      </c>
      <c r="L46" s="158">
        <v>0.2</v>
      </c>
      <c r="M46" s="18" t="s">
        <v>80</v>
      </c>
      <c r="N46" s="17" t="s">
        <v>88</v>
      </c>
      <c r="O46" s="5">
        <v>100</v>
      </c>
      <c r="P46" s="3">
        <v>5.0000000000000044E-3</v>
      </c>
      <c r="Q46" s="17" t="s">
        <v>88</v>
      </c>
      <c r="R46" s="18" t="s">
        <v>80</v>
      </c>
      <c r="S46" s="3">
        <v>5.3999999999999999E-2</v>
      </c>
      <c r="T46" s="3">
        <v>0.10100000000000001</v>
      </c>
      <c r="U46" s="3">
        <v>0.13</v>
      </c>
    </row>
    <row r="47" spans="1:22" ht="14.25" customHeight="1">
      <c r="A47" s="18" t="s">
        <v>94</v>
      </c>
      <c r="B47" s="17" t="s">
        <v>89</v>
      </c>
      <c r="C47" s="18" t="s">
        <v>134</v>
      </c>
      <c r="D47" s="109">
        <v>-47.299749835960981</v>
      </c>
      <c r="E47" s="109">
        <v>-23.265442500000002</v>
      </c>
      <c r="F47" s="18">
        <v>2008</v>
      </c>
      <c r="G47" s="19" t="s">
        <v>90</v>
      </c>
      <c r="H47" s="18" t="s">
        <v>177</v>
      </c>
      <c r="I47" s="17" t="s">
        <v>91</v>
      </c>
      <c r="J47" s="158" t="s">
        <v>93</v>
      </c>
      <c r="K47" s="18">
        <v>1200</v>
      </c>
      <c r="L47" s="158">
        <v>0.2</v>
      </c>
      <c r="M47" s="18" t="s">
        <v>80</v>
      </c>
      <c r="N47" s="17" t="s">
        <v>88</v>
      </c>
      <c r="O47" s="10">
        <v>99.875</v>
      </c>
      <c r="P47" s="3">
        <v>1.0000000000000009E-2</v>
      </c>
      <c r="Q47" s="17" t="s">
        <v>88</v>
      </c>
      <c r="R47" s="18" t="s">
        <v>80</v>
      </c>
      <c r="S47" s="4">
        <v>7.0000000000000007E-2</v>
      </c>
      <c r="T47" s="4">
        <v>0.13</v>
      </c>
      <c r="U47" s="4">
        <v>0.17</v>
      </c>
    </row>
    <row r="48" spans="1:22" ht="14.25" customHeight="1">
      <c r="A48" s="18" t="s">
        <v>94</v>
      </c>
      <c r="B48" s="17" t="s">
        <v>89</v>
      </c>
      <c r="C48" s="18" t="s">
        <v>95</v>
      </c>
      <c r="D48" s="109">
        <v>-46.570383182112749</v>
      </c>
      <c r="E48" s="109">
        <v>-23.567386500000001</v>
      </c>
      <c r="F48" s="18">
        <v>2008</v>
      </c>
      <c r="G48" s="19" t="s">
        <v>90</v>
      </c>
      <c r="H48" s="18" t="s">
        <v>177</v>
      </c>
      <c r="I48" s="17" t="s">
        <v>91</v>
      </c>
      <c r="J48" s="158" t="s">
        <v>93</v>
      </c>
      <c r="K48" s="18">
        <v>1200</v>
      </c>
      <c r="L48" s="158">
        <v>0.2</v>
      </c>
      <c r="M48" s="18" t="s">
        <v>80</v>
      </c>
      <c r="N48" s="17" t="s">
        <v>88</v>
      </c>
      <c r="O48" s="17">
        <v>100</v>
      </c>
      <c r="P48" s="3">
        <v>6.9999999999999923E-3</v>
      </c>
      <c r="Q48" s="17" t="s">
        <v>88</v>
      </c>
      <c r="R48" s="18" t="s">
        <v>80</v>
      </c>
      <c r="S48" s="4">
        <v>6.9000000000000006E-2</v>
      </c>
      <c r="T48" s="4">
        <v>0.12</v>
      </c>
      <c r="U48" s="4">
        <v>0.15</v>
      </c>
    </row>
    <row r="49" spans="1:21" ht="14.25" customHeight="1">
      <c r="A49" s="18" t="s">
        <v>94</v>
      </c>
      <c r="B49" s="17" t="s">
        <v>89</v>
      </c>
      <c r="C49" s="18" t="s">
        <v>108</v>
      </c>
      <c r="D49" s="109">
        <v>-51.386765581912492</v>
      </c>
      <c r="E49" s="109">
        <v>-22.122743500000002</v>
      </c>
      <c r="F49" s="18">
        <v>2008</v>
      </c>
      <c r="G49" s="19" t="s">
        <v>90</v>
      </c>
      <c r="H49" s="18" t="s">
        <v>177</v>
      </c>
      <c r="I49" s="17" t="s">
        <v>91</v>
      </c>
      <c r="J49" s="158" t="s">
        <v>93</v>
      </c>
      <c r="K49" s="18">
        <v>1500</v>
      </c>
      <c r="L49" s="158">
        <v>0.2</v>
      </c>
      <c r="M49" s="18" t="s">
        <v>80</v>
      </c>
      <c r="N49" s="17" t="s">
        <v>88</v>
      </c>
      <c r="O49" s="10">
        <v>99.460000000000008</v>
      </c>
      <c r="P49" s="4">
        <v>1E-3</v>
      </c>
      <c r="Q49" s="17" t="s">
        <v>88</v>
      </c>
      <c r="R49" s="18" t="s">
        <v>80</v>
      </c>
      <c r="S49" s="4">
        <v>7.4999999999999997E-2</v>
      </c>
      <c r="T49" s="4">
        <v>0.14000000000000001</v>
      </c>
      <c r="U49" s="4">
        <v>0.19</v>
      </c>
    </row>
    <row r="50" spans="1:21" ht="14.25" customHeight="1">
      <c r="A50" s="18" t="s">
        <v>94</v>
      </c>
      <c r="B50" s="17" t="s">
        <v>89</v>
      </c>
      <c r="C50" s="18" t="s">
        <v>109</v>
      </c>
      <c r="D50" s="109">
        <v>-47.805475915541528</v>
      </c>
      <c r="E50" s="109">
        <v>-21.184834500000004</v>
      </c>
      <c r="F50" s="18">
        <v>2008</v>
      </c>
      <c r="G50" s="19" t="s">
        <v>90</v>
      </c>
      <c r="H50" s="18" t="s">
        <v>177</v>
      </c>
      <c r="I50" s="17" t="s">
        <v>91</v>
      </c>
      <c r="J50" s="158" t="s">
        <v>93</v>
      </c>
      <c r="K50" s="18">
        <v>1200</v>
      </c>
      <c r="L50" s="158">
        <v>0.2</v>
      </c>
      <c r="M50" s="18" t="s">
        <v>80</v>
      </c>
      <c r="N50" s="17" t="s">
        <v>88</v>
      </c>
      <c r="O50" s="10">
        <v>99.875</v>
      </c>
      <c r="P50" s="3">
        <v>1.100000000000001E-2</v>
      </c>
      <c r="Q50" s="17" t="s">
        <v>88</v>
      </c>
      <c r="R50" s="18" t="s">
        <v>80</v>
      </c>
      <c r="S50" s="4">
        <v>8.2000000000000003E-2</v>
      </c>
      <c r="T50" s="4">
        <v>0.13100000000000001</v>
      </c>
      <c r="U50" s="4">
        <v>0.159</v>
      </c>
    </row>
    <row r="51" spans="1:21" ht="14.25" customHeight="1">
      <c r="A51" s="18" t="s">
        <v>94</v>
      </c>
      <c r="B51" s="17" t="s">
        <v>89</v>
      </c>
      <c r="C51" s="18" t="s">
        <v>127</v>
      </c>
      <c r="D51" s="109">
        <v>-46.922092505649722</v>
      </c>
      <c r="E51" s="109">
        <v>-23.449453000000005</v>
      </c>
      <c r="F51" s="18">
        <v>2008</v>
      </c>
      <c r="G51" s="19" t="s">
        <v>90</v>
      </c>
      <c r="H51" s="18" t="s">
        <v>177</v>
      </c>
      <c r="I51" s="17" t="s">
        <v>91</v>
      </c>
      <c r="J51" s="158" t="s">
        <v>93</v>
      </c>
      <c r="K51" s="18">
        <v>1200</v>
      </c>
      <c r="L51" s="158">
        <v>0.2</v>
      </c>
      <c r="M51" s="18" t="s">
        <v>80</v>
      </c>
      <c r="N51" s="17" t="s">
        <v>88</v>
      </c>
      <c r="O51" s="10">
        <v>99.075000000000003</v>
      </c>
      <c r="P51" s="3">
        <v>9.999999999999995E-3</v>
      </c>
      <c r="Q51" s="17" t="s">
        <v>88</v>
      </c>
      <c r="R51" s="18" t="s">
        <v>80</v>
      </c>
      <c r="S51" s="4">
        <v>7.0000000000000007E-2</v>
      </c>
      <c r="T51" s="4">
        <v>0.11799999999999999</v>
      </c>
      <c r="U51" s="4">
        <v>0.14599999999999999</v>
      </c>
    </row>
    <row r="52" spans="1:21" ht="14.25" customHeight="1">
      <c r="A52" s="18" t="s">
        <v>94</v>
      </c>
      <c r="B52" s="17" t="s">
        <v>89</v>
      </c>
      <c r="C52" s="18" t="s">
        <v>110</v>
      </c>
      <c r="D52" s="109">
        <v>-46.331370849190684</v>
      </c>
      <c r="E52" s="109">
        <v>-23.933737500000003</v>
      </c>
      <c r="F52" s="18">
        <v>2008</v>
      </c>
      <c r="G52" s="19" t="s">
        <v>90</v>
      </c>
      <c r="H52" s="18" t="s">
        <v>177</v>
      </c>
      <c r="I52" s="17" t="s">
        <v>91</v>
      </c>
      <c r="J52" s="158" t="s">
        <v>93</v>
      </c>
      <c r="K52" s="18">
        <v>1200</v>
      </c>
      <c r="L52" s="158">
        <v>0.2</v>
      </c>
      <c r="M52" s="18" t="s">
        <v>80</v>
      </c>
      <c r="N52" s="17" t="s">
        <v>88</v>
      </c>
      <c r="O52" s="10">
        <v>99.175000000000011</v>
      </c>
      <c r="P52" s="3">
        <v>1.0000000000000009E-2</v>
      </c>
      <c r="Q52" s="17" t="s">
        <v>88</v>
      </c>
      <c r="R52" s="18" t="s">
        <v>80</v>
      </c>
      <c r="S52" s="4">
        <v>8.5999999999999993E-2</v>
      </c>
      <c r="T52" s="4">
        <v>0.152</v>
      </c>
      <c r="U52" s="4">
        <v>0.193</v>
      </c>
    </row>
    <row r="53" spans="1:21" ht="14.25" customHeight="1">
      <c r="A53" s="18" t="s">
        <v>94</v>
      </c>
      <c r="B53" s="17" t="s">
        <v>89</v>
      </c>
      <c r="C53" s="17" t="s">
        <v>111</v>
      </c>
      <c r="D53" s="109">
        <v>-47.889237684691636</v>
      </c>
      <c r="E53" s="109">
        <v>-22.015998500000002</v>
      </c>
      <c r="F53" s="18">
        <v>2008</v>
      </c>
      <c r="G53" s="19" t="s">
        <v>90</v>
      </c>
      <c r="H53" s="18" t="s">
        <v>177</v>
      </c>
      <c r="I53" s="17" t="s">
        <v>91</v>
      </c>
      <c r="J53" s="158" t="s">
        <v>93</v>
      </c>
      <c r="K53" s="18">
        <v>1200</v>
      </c>
      <c r="L53" s="158">
        <v>0.2</v>
      </c>
      <c r="M53" s="18" t="s">
        <v>80</v>
      </c>
      <c r="N53" s="17" t="s">
        <v>88</v>
      </c>
      <c r="O53" s="10">
        <v>99.875</v>
      </c>
      <c r="P53" s="3">
        <v>9.999999999999995E-3</v>
      </c>
      <c r="Q53" s="17" t="s">
        <v>88</v>
      </c>
      <c r="R53" s="18" t="s">
        <v>80</v>
      </c>
      <c r="S53" s="4">
        <v>6.3E-2</v>
      </c>
      <c r="T53" s="4">
        <v>0.12</v>
      </c>
      <c r="U53" s="4">
        <v>0.15</v>
      </c>
    </row>
    <row r="54" spans="1:21" ht="14.25" customHeight="1">
      <c r="A54" s="18" t="s">
        <v>94</v>
      </c>
      <c r="B54" s="17" t="s">
        <v>89</v>
      </c>
      <c r="C54" s="17" t="s">
        <v>131</v>
      </c>
      <c r="D54" s="109">
        <v>-49.381347685025794</v>
      </c>
      <c r="E54" s="109">
        <v>-20.812636500000004</v>
      </c>
      <c r="F54" s="18">
        <v>2008</v>
      </c>
      <c r="G54" s="19" t="s">
        <v>90</v>
      </c>
      <c r="H54" s="18" t="s">
        <v>177</v>
      </c>
      <c r="I54" s="17" t="s">
        <v>91</v>
      </c>
      <c r="J54" s="158" t="s">
        <v>93</v>
      </c>
      <c r="K54" s="18">
        <v>1200</v>
      </c>
      <c r="L54" s="158">
        <v>0.2</v>
      </c>
      <c r="M54" s="18" t="s">
        <v>80</v>
      </c>
      <c r="N54" s="17" t="s">
        <v>88</v>
      </c>
      <c r="O54" s="10">
        <v>99.325000000000003</v>
      </c>
      <c r="P54" s="4">
        <v>1E-3</v>
      </c>
      <c r="Q54" s="17" t="s">
        <v>88</v>
      </c>
      <c r="R54" s="18" t="s">
        <v>80</v>
      </c>
      <c r="S54" s="4">
        <v>6.5000000000000002E-2</v>
      </c>
      <c r="T54" s="4">
        <v>0.11</v>
      </c>
      <c r="U54" s="4">
        <v>0.14000000000000001</v>
      </c>
    </row>
    <row r="55" spans="1:21" ht="14.25" customHeight="1">
      <c r="A55" s="18" t="s">
        <v>94</v>
      </c>
      <c r="B55" s="17" t="s">
        <v>89</v>
      </c>
      <c r="C55" s="17" t="s">
        <v>113</v>
      </c>
      <c r="D55" s="109">
        <v>-45.402680140543957</v>
      </c>
      <c r="E55" s="109">
        <v>-23.806687652148753</v>
      </c>
      <c r="F55" s="18">
        <v>2008</v>
      </c>
      <c r="G55" s="19" t="s">
        <v>90</v>
      </c>
      <c r="H55" s="18" t="s">
        <v>177</v>
      </c>
      <c r="I55" s="17" t="s">
        <v>91</v>
      </c>
      <c r="J55" s="158" t="s">
        <v>93</v>
      </c>
      <c r="K55" s="18">
        <v>1200</v>
      </c>
      <c r="L55" s="158">
        <v>0.2</v>
      </c>
      <c r="M55" s="18" t="s">
        <v>80</v>
      </c>
      <c r="N55" s="17" t="s">
        <v>88</v>
      </c>
      <c r="O55" s="10">
        <v>97.8</v>
      </c>
      <c r="P55" s="3">
        <v>1.0000000000000009E-2</v>
      </c>
      <c r="Q55" s="17" t="s">
        <v>88</v>
      </c>
      <c r="R55" s="18" t="s">
        <v>80</v>
      </c>
      <c r="S55" s="4">
        <v>8.2000000000000003E-2</v>
      </c>
      <c r="T55" s="4">
        <v>0.17</v>
      </c>
      <c r="U55" s="4">
        <v>0.23</v>
      </c>
    </row>
    <row r="56" spans="1:21" ht="14.25" customHeight="1">
      <c r="A56" s="18" t="s">
        <v>94</v>
      </c>
      <c r="B56" s="17" t="s">
        <v>89</v>
      </c>
      <c r="C56" s="158" t="s">
        <v>146</v>
      </c>
      <c r="D56" s="109">
        <v>-54.58710248860465</v>
      </c>
      <c r="E56" s="109">
        <v>-25.542493279529253</v>
      </c>
      <c r="F56" s="18">
        <v>2008</v>
      </c>
      <c r="G56" s="19" t="s">
        <v>90</v>
      </c>
      <c r="H56" s="18" t="s">
        <v>177</v>
      </c>
      <c r="I56" s="17" t="s">
        <v>91</v>
      </c>
      <c r="J56" s="158" t="s">
        <v>93</v>
      </c>
      <c r="K56" s="18">
        <v>1200</v>
      </c>
      <c r="L56" s="158">
        <v>0.2</v>
      </c>
      <c r="M56" s="18" t="s">
        <v>80</v>
      </c>
      <c r="N56" s="17" t="s">
        <v>88</v>
      </c>
      <c r="O56" s="10">
        <v>99.375</v>
      </c>
      <c r="P56" s="3">
        <v>9.999999999999995E-3</v>
      </c>
      <c r="Q56" s="17" t="s">
        <v>88</v>
      </c>
      <c r="R56" s="18" t="s">
        <v>80</v>
      </c>
      <c r="S56" s="4">
        <v>5.7000000000000002E-2</v>
      </c>
      <c r="T56" s="4">
        <v>0.11</v>
      </c>
      <c r="U56" s="4">
        <v>0.15</v>
      </c>
    </row>
    <row r="57" spans="1:21" ht="14.25" customHeight="1">
      <c r="A57" s="18" t="s">
        <v>94</v>
      </c>
      <c r="B57" s="17" t="s">
        <v>89</v>
      </c>
      <c r="C57" s="158" t="s">
        <v>147</v>
      </c>
      <c r="D57" s="109">
        <v>-51.939881870252066</v>
      </c>
      <c r="E57" s="109">
        <v>-23.422280000000004</v>
      </c>
      <c r="F57" s="18">
        <v>2008</v>
      </c>
      <c r="G57" s="19" t="s">
        <v>90</v>
      </c>
      <c r="H57" s="18" t="s">
        <v>177</v>
      </c>
      <c r="I57" s="17" t="s">
        <v>91</v>
      </c>
      <c r="J57" s="158" t="s">
        <v>93</v>
      </c>
      <c r="K57" s="18">
        <v>1200</v>
      </c>
      <c r="L57" s="158">
        <v>0.2</v>
      </c>
      <c r="M57" s="18" t="s">
        <v>80</v>
      </c>
      <c r="N57" s="17" t="s">
        <v>88</v>
      </c>
      <c r="O57" s="158">
        <v>99.5</v>
      </c>
      <c r="P57" s="3">
        <v>5.0000000000000044E-3</v>
      </c>
      <c r="Q57" s="17" t="s">
        <v>88</v>
      </c>
      <c r="R57" s="18" t="s">
        <v>80</v>
      </c>
      <c r="S57" s="4">
        <v>6.3E-2</v>
      </c>
      <c r="T57" s="4">
        <v>0.11</v>
      </c>
      <c r="U57" s="4">
        <v>0.13900000000000001</v>
      </c>
    </row>
    <row r="58" spans="1:21" ht="14.25" customHeight="1">
      <c r="A58" s="17" t="s">
        <v>94</v>
      </c>
      <c r="B58" s="17" t="s">
        <v>89</v>
      </c>
      <c r="C58" s="17" t="s">
        <v>148</v>
      </c>
      <c r="D58" s="109">
        <v>-45.004168437028525</v>
      </c>
      <c r="E58" s="109">
        <v>-12.144924888390602</v>
      </c>
      <c r="F58" s="18">
        <v>2008</v>
      </c>
      <c r="G58" s="19" t="s">
        <v>90</v>
      </c>
      <c r="H58" s="18" t="s">
        <v>177</v>
      </c>
      <c r="I58" s="17" t="s">
        <v>91</v>
      </c>
      <c r="J58" s="158" t="s">
        <v>93</v>
      </c>
      <c r="K58" s="18">
        <v>1800</v>
      </c>
      <c r="L58" s="158">
        <v>0.2</v>
      </c>
      <c r="M58" s="17" t="s">
        <v>80</v>
      </c>
      <c r="N58" s="17" t="s">
        <v>88</v>
      </c>
      <c r="O58" s="10">
        <v>99.266666666666666</v>
      </c>
      <c r="P58" s="4">
        <v>1E-3</v>
      </c>
      <c r="Q58" s="17" t="s">
        <v>88</v>
      </c>
      <c r="R58" s="17" t="s">
        <v>80</v>
      </c>
      <c r="S58" s="4">
        <v>6.7000000000000004E-2</v>
      </c>
      <c r="T58" s="4">
        <v>0.12</v>
      </c>
      <c r="U58" s="4">
        <v>0.16</v>
      </c>
    </row>
    <row r="59" spans="1:21" ht="14.25" customHeight="1">
      <c r="A59" s="17" t="s">
        <v>94</v>
      </c>
      <c r="B59" s="17" t="s">
        <v>89</v>
      </c>
      <c r="C59" s="17" t="s">
        <v>149</v>
      </c>
      <c r="D59" s="109">
        <v>-40.513017627870106</v>
      </c>
      <c r="E59" s="109">
        <v>-11.185062160141854</v>
      </c>
      <c r="F59" s="18">
        <v>2008</v>
      </c>
      <c r="G59" s="19" t="s">
        <v>90</v>
      </c>
      <c r="H59" s="18" t="s">
        <v>177</v>
      </c>
      <c r="I59" s="17" t="s">
        <v>91</v>
      </c>
      <c r="J59" s="158" t="s">
        <v>93</v>
      </c>
      <c r="K59" s="18">
        <v>1500</v>
      </c>
      <c r="L59" s="158">
        <v>0.2</v>
      </c>
      <c r="M59" s="17" t="s">
        <v>80</v>
      </c>
      <c r="N59" s="17" t="s">
        <v>88</v>
      </c>
      <c r="O59" s="10">
        <v>98.88</v>
      </c>
      <c r="P59" s="3">
        <v>1.999999999999999E-2</v>
      </c>
      <c r="Q59" s="17" t="s">
        <v>88</v>
      </c>
      <c r="R59" s="17" t="s">
        <v>80</v>
      </c>
      <c r="S59" s="4">
        <v>6.4000000000000001E-2</v>
      </c>
      <c r="T59" s="4">
        <v>0.15</v>
      </c>
      <c r="U59" s="4">
        <v>0.2</v>
      </c>
    </row>
    <row r="60" spans="1:21" ht="14.25" customHeight="1">
      <c r="A60" s="17" t="s">
        <v>94</v>
      </c>
      <c r="B60" s="17" t="s">
        <v>89</v>
      </c>
      <c r="C60" s="17" t="s">
        <v>150</v>
      </c>
      <c r="D60" s="109">
        <v>-38.488061484007851</v>
      </c>
      <c r="E60" s="109">
        <v>-13.014771911532753</v>
      </c>
      <c r="F60" s="18">
        <v>2008</v>
      </c>
      <c r="G60" s="19" t="s">
        <v>90</v>
      </c>
      <c r="H60" s="18" t="s">
        <v>177</v>
      </c>
      <c r="I60" s="17" t="s">
        <v>91</v>
      </c>
      <c r="J60" s="158" t="s">
        <v>93</v>
      </c>
      <c r="K60" s="18">
        <v>1200</v>
      </c>
      <c r="L60" s="158">
        <v>0.2</v>
      </c>
      <c r="M60" s="17" t="s">
        <v>80</v>
      </c>
      <c r="N60" s="17" t="s">
        <v>88</v>
      </c>
      <c r="O60" s="10">
        <v>99.875</v>
      </c>
      <c r="P60" s="3">
        <v>9.999999999999995E-3</v>
      </c>
      <c r="Q60" s="17" t="s">
        <v>88</v>
      </c>
      <c r="R60" s="17" t="s">
        <v>80</v>
      </c>
      <c r="S60" s="4">
        <v>5.8999999999999997E-2</v>
      </c>
      <c r="T60" s="4">
        <v>0.11</v>
      </c>
      <c r="U60" s="4">
        <v>0.14000000000000001</v>
      </c>
    </row>
    <row r="61" spans="1:21" ht="14.25" customHeight="1" thickBot="1">
      <c r="A61" s="21" t="s">
        <v>94</v>
      </c>
      <c r="B61" s="21" t="s">
        <v>89</v>
      </c>
      <c r="C61" s="21" t="s">
        <v>135</v>
      </c>
      <c r="D61" s="110">
        <v>-48.037211274124623</v>
      </c>
      <c r="E61" s="110">
        <v>-16.056078214198152</v>
      </c>
      <c r="F61" s="21">
        <v>2008</v>
      </c>
      <c r="G61" s="22" t="s">
        <v>90</v>
      </c>
      <c r="H61" s="21" t="s">
        <v>177</v>
      </c>
      <c r="I61" s="21" t="s">
        <v>91</v>
      </c>
      <c r="J61" s="11" t="s">
        <v>93</v>
      </c>
      <c r="K61" s="21">
        <v>1200</v>
      </c>
      <c r="L61" s="11">
        <v>0.2</v>
      </c>
      <c r="M61" s="21" t="s">
        <v>80</v>
      </c>
      <c r="N61" s="21" t="s">
        <v>88</v>
      </c>
      <c r="O61" s="30">
        <v>99.375</v>
      </c>
      <c r="P61" s="13">
        <v>1.0000000000000009E-2</v>
      </c>
      <c r="Q61" s="21" t="s">
        <v>88</v>
      </c>
      <c r="R61" s="21" t="s">
        <v>80</v>
      </c>
      <c r="S61" s="29">
        <v>7.9000000000000001E-2</v>
      </c>
      <c r="T61" s="29">
        <v>0.14000000000000001</v>
      </c>
      <c r="U61" s="29">
        <v>0.18</v>
      </c>
    </row>
    <row r="62" spans="1:21" ht="14.25" customHeight="1">
      <c r="A62" s="18" t="s">
        <v>94</v>
      </c>
      <c r="B62" s="17" t="s">
        <v>89</v>
      </c>
      <c r="C62" s="20" t="s">
        <v>124</v>
      </c>
      <c r="D62" s="261"/>
      <c r="E62" s="262"/>
      <c r="F62" s="17">
        <v>2008</v>
      </c>
      <c r="G62" s="19" t="s">
        <v>90</v>
      </c>
      <c r="H62" s="17" t="s">
        <v>188</v>
      </c>
      <c r="I62" s="17" t="s">
        <v>91</v>
      </c>
      <c r="J62" s="18" t="s">
        <v>20</v>
      </c>
      <c r="K62" s="158">
        <v>600</v>
      </c>
      <c r="L62" s="10">
        <v>73</v>
      </c>
      <c r="M62" s="111" t="s">
        <v>50</v>
      </c>
      <c r="N62" s="158" t="s">
        <v>88</v>
      </c>
      <c r="O62" s="5">
        <v>100</v>
      </c>
      <c r="P62" s="17"/>
      <c r="Q62" s="17"/>
      <c r="R62" s="17"/>
      <c r="S62" s="4"/>
      <c r="T62" s="4"/>
      <c r="U62" s="4"/>
    </row>
    <row r="63" spans="1:21" ht="14.25" customHeight="1">
      <c r="A63" s="18" t="s">
        <v>94</v>
      </c>
      <c r="B63" s="17" t="s">
        <v>89</v>
      </c>
      <c r="C63" s="18" t="s">
        <v>100</v>
      </c>
      <c r="D63" s="109">
        <v>-50.439226072752582</v>
      </c>
      <c r="E63" s="109">
        <v>-21.205476000000004</v>
      </c>
      <c r="F63" s="18">
        <v>2008</v>
      </c>
      <c r="G63" s="19" t="s">
        <v>90</v>
      </c>
      <c r="H63" s="17" t="s">
        <v>188</v>
      </c>
      <c r="I63" s="17" t="s">
        <v>91</v>
      </c>
      <c r="J63" s="18" t="s">
        <v>20</v>
      </c>
      <c r="K63" s="5">
        <v>600</v>
      </c>
      <c r="L63" s="10">
        <v>146</v>
      </c>
      <c r="M63" s="111" t="s">
        <v>50</v>
      </c>
      <c r="N63" s="158" t="s">
        <v>88</v>
      </c>
      <c r="O63" s="10">
        <v>38.024999999999999</v>
      </c>
      <c r="P63" s="10"/>
      <c r="S63" s="158"/>
      <c r="T63" s="158"/>
      <c r="U63" s="158"/>
    </row>
    <row r="64" spans="1:21" ht="14.25" customHeight="1">
      <c r="A64" s="18" t="s">
        <v>94</v>
      </c>
      <c r="B64" s="17" t="s">
        <v>89</v>
      </c>
      <c r="C64" s="27" t="s">
        <v>101</v>
      </c>
      <c r="D64" s="109">
        <v>-48.567377839455055</v>
      </c>
      <c r="E64" s="109">
        <v>-20.558455515000002</v>
      </c>
      <c r="F64" s="18">
        <v>2008</v>
      </c>
      <c r="G64" s="19" t="s">
        <v>90</v>
      </c>
      <c r="H64" s="17" t="s">
        <v>188</v>
      </c>
      <c r="I64" s="17" t="s">
        <v>91</v>
      </c>
      <c r="J64" s="18" t="s">
        <v>20</v>
      </c>
      <c r="K64" s="5">
        <v>600</v>
      </c>
      <c r="L64" s="10">
        <v>146</v>
      </c>
      <c r="M64" s="111" t="s">
        <v>50</v>
      </c>
      <c r="N64" s="158" t="s">
        <v>88</v>
      </c>
      <c r="O64" s="10">
        <v>52.1</v>
      </c>
      <c r="P64" s="10"/>
      <c r="S64" s="158"/>
      <c r="T64" s="158"/>
      <c r="U64" s="158"/>
    </row>
    <row r="65" spans="1:21" ht="14.25" customHeight="1">
      <c r="A65" s="18" t="s">
        <v>94</v>
      </c>
      <c r="B65" s="17" t="s">
        <v>89</v>
      </c>
      <c r="C65" s="17" t="s">
        <v>133</v>
      </c>
      <c r="D65" s="109">
        <v>-49.083000867090362</v>
      </c>
      <c r="E65" s="109">
        <v>-22.325122500000006</v>
      </c>
      <c r="F65" s="18">
        <v>2008</v>
      </c>
      <c r="G65" s="19" t="s">
        <v>90</v>
      </c>
      <c r="H65" s="17" t="s">
        <v>188</v>
      </c>
      <c r="I65" s="17" t="s">
        <v>91</v>
      </c>
      <c r="J65" s="18" t="s">
        <v>20</v>
      </c>
      <c r="K65" s="5">
        <v>800</v>
      </c>
      <c r="L65" s="10">
        <v>146</v>
      </c>
      <c r="M65" s="111" t="s">
        <v>50</v>
      </c>
      <c r="N65" s="158" t="s">
        <v>88</v>
      </c>
      <c r="O65" s="10">
        <v>76.733333333333334</v>
      </c>
      <c r="P65" s="10"/>
      <c r="S65" s="83"/>
      <c r="T65" s="158"/>
      <c r="U65" s="158"/>
    </row>
    <row r="66" spans="1:21" ht="14.25" customHeight="1">
      <c r="A66" s="18" t="s">
        <v>94</v>
      </c>
      <c r="B66" s="17" t="s">
        <v>89</v>
      </c>
      <c r="C66" s="18" t="s">
        <v>103</v>
      </c>
      <c r="D66" s="109">
        <v>-48.441289384350434</v>
      </c>
      <c r="E66" s="109">
        <v>-22.888381500000008</v>
      </c>
      <c r="F66" s="18">
        <v>2008</v>
      </c>
      <c r="G66" s="19" t="s">
        <v>90</v>
      </c>
      <c r="H66" s="17" t="s">
        <v>188</v>
      </c>
      <c r="I66" s="17" t="s">
        <v>91</v>
      </c>
      <c r="J66" s="18" t="s">
        <v>20</v>
      </c>
      <c r="K66" s="5">
        <v>600</v>
      </c>
      <c r="L66" s="10">
        <v>146</v>
      </c>
      <c r="M66" s="111" t="s">
        <v>50</v>
      </c>
      <c r="N66" s="158" t="s">
        <v>88</v>
      </c>
      <c r="O66" s="53">
        <v>83.325000000000003</v>
      </c>
      <c r="P66" s="53"/>
      <c r="S66" s="17"/>
      <c r="T66" s="5"/>
      <c r="U66" s="5"/>
    </row>
    <row r="67" spans="1:21" ht="14.25" customHeight="1">
      <c r="A67" s="18" t="s">
        <v>94</v>
      </c>
      <c r="B67" s="17" t="s">
        <v>89</v>
      </c>
      <c r="C67" s="18" t="s">
        <v>134</v>
      </c>
      <c r="D67" s="109">
        <v>-47.299749835960981</v>
      </c>
      <c r="E67" s="109">
        <v>-23.265442500000002</v>
      </c>
      <c r="F67" s="18">
        <v>2008</v>
      </c>
      <c r="G67" s="19" t="s">
        <v>90</v>
      </c>
      <c r="H67" s="17" t="s">
        <v>188</v>
      </c>
      <c r="I67" s="17" t="s">
        <v>91</v>
      </c>
      <c r="J67" s="18" t="s">
        <v>20</v>
      </c>
      <c r="K67" s="5">
        <v>750</v>
      </c>
      <c r="L67" s="10">
        <v>146</v>
      </c>
      <c r="M67" s="111" t="s">
        <v>50</v>
      </c>
      <c r="N67" s="158" t="s">
        <v>88</v>
      </c>
      <c r="O67" s="53">
        <v>72.900000000000006</v>
      </c>
      <c r="P67" s="53"/>
      <c r="S67" s="158"/>
      <c r="T67" s="10"/>
      <c r="U67" s="5"/>
    </row>
    <row r="68" spans="1:21" ht="14.25" customHeight="1">
      <c r="A68" s="18" t="s">
        <v>94</v>
      </c>
      <c r="B68" s="17" t="s">
        <v>89</v>
      </c>
      <c r="C68" s="27" t="s">
        <v>95</v>
      </c>
      <c r="D68" s="109">
        <v>-46.570383182112749</v>
      </c>
      <c r="E68" s="109">
        <v>-23.567386500000001</v>
      </c>
      <c r="F68" s="18">
        <v>2008</v>
      </c>
      <c r="G68" s="19" t="s">
        <v>90</v>
      </c>
      <c r="H68" s="17" t="s">
        <v>188</v>
      </c>
      <c r="I68" s="17" t="s">
        <v>91</v>
      </c>
      <c r="J68" s="18" t="s">
        <v>20</v>
      </c>
      <c r="K68" s="5">
        <v>600</v>
      </c>
      <c r="L68" s="10">
        <v>146</v>
      </c>
      <c r="M68" s="111" t="s">
        <v>50</v>
      </c>
      <c r="N68" s="158" t="s">
        <v>88</v>
      </c>
      <c r="O68" s="53">
        <v>57.8</v>
      </c>
      <c r="P68" s="53"/>
      <c r="S68" s="158"/>
      <c r="T68" s="5"/>
      <c r="U68" s="5"/>
    </row>
    <row r="69" spans="1:21" ht="14.25" customHeight="1">
      <c r="A69" s="18" t="s">
        <v>94</v>
      </c>
      <c r="B69" s="17" t="s">
        <v>89</v>
      </c>
      <c r="C69" s="18" t="s">
        <v>108</v>
      </c>
      <c r="D69" s="109">
        <v>-51.386765581912492</v>
      </c>
      <c r="E69" s="109">
        <v>-22.122743500000002</v>
      </c>
      <c r="F69" s="18">
        <v>2008</v>
      </c>
      <c r="G69" s="19" t="s">
        <v>90</v>
      </c>
      <c r="H69" s="17" t="s">
        <v>188</v>
      </c>
      <c r="I69" s="17" t="s">
        <v>91</v>
      </c>
      <c r="J69" s="18" t="s">
        <v>20</v>
      </c>
      <c r="K69" s="5">
        <v>750</v>
      </c>
      <c r="L69" s="10">
        <v>146</v>
      </c>
      <c r="M69" s="111" t="s">
        <v>50</v>
      </c>
      <c r="N69" s="158" t="s">
        <v>88</v>
      </c>
      <c r="O69" s="53">
        <v>38.54</v>
      </c>
      <c r="P69" s="53"/>
      <c r="S69" s="17"/>
      <c r="T69" s="5"/>
      <c r="U69" s="5"/>
    </row>
    <row r="70" spans="1:21" ht="14.25" customHeight="1">
      <c r="A70" s="18" t="s">
        <v>94</v>
      </c>
      <c r="B70" s="17" t="s">
        <v>89</v>
      </c>
      <c r="C70" s="27" t="s">
        <v>109</v>
      </c>
      <c r="D70" s="109">
        <v>-47.805475915541528</v>
      </c>
      <c r="E70" s="109">
        <v>-21.184834500000004</v>
      </c>
      <c r="F70" s="18">
        <v>2008</v>
      </c>
      <c r="G70" s="19" t="s">
        <v>90</v>
      </c>
      <c r="H70" s="17" t="s">
        <v>188</v>
      </c>
      <c r="I70" s="17" t="s">
        <v>91</v>
      </c>
      <c r="J70" s="18" t="s">
        <v>20</v>
      </c>
      <c r="K70" s="5">
        <v>600</v>
      </c>
      <c r="L70" s="10">
        <v>146</v>
      </c>
      <c r="M70" s="111" t="s">
        <v>50</v>
      </c>
      <c r="N70" s="158" t="s">
        <v>88</v>
      </c>
      <c r="O70" s="53">
        <v>41.375</v>
      </c>
      <c r="P70" s="53"/>
      <c r="S70" s="17"/>
      <c r="T70" s="5"/>
      <c r="U70" s="5"/>
    </row>
    <row r="71" spans="1:21" ht="14.25" customHeight="1">
      <c r="A71" s="18" t="s">
        <v>94</v>
      </c>
      <c r="B71" s="17" t="s">
        <v>89</v>
      </c>
      <c r="C71" s="18" t="s">
        <v>127</v>
      </c>
      <c r="D71" s="109">
        <v>-46.922092505649722</v>
      </c>
      <c r="E71" s="109">
        <v>-23.449453000000005</v>
      </c>
      <c r="F71" s="18">
        <v>2008</v>
      </c>
      <c r="G71" s="19" t="s">
        <v>90</v>
      </c>
      <c r="H71" s="17" t="s">
        <v>188</v>
      </c>
      <c r="I71" s="17" t="s">
        <v>91</v>
      </c>
      <c r="J71" s="18" t="s">
        <v>20</v>
      </c>
      <c r="K71" s="5">
        <v>600</v>
      </c>
      <c r="L71" s="10">
        <v>146</v>
      </c>
      <c r="M71" s="111" t="s">
        <v>50</v>
      </c>
      <c r="N71" s="158" t="s">
        <v>88</v>
      </c>
      <c r="O71" s="53">
        <v>50.749999999999993</v>
      </c>
      <c r="P71" s="53"/>
      <c r="S71" s="158"/>
      <c r="T71" s="10"/>
      <c r="U71" s="5"/>
    </row>
    <row r="72" spans="1:21" ht="14.25" customHeight="1">
      <c r="A72" s="18" t="s">
        <v>94</v>
      </c>
      <c r="B72" s="17" t="s">
        <v>89</v>
      </c>
      <c r="C72" s="27" t="s">
        <v>110</v>
      </c>
      <c r="D72" s="109">
        <v>-46.331370849190684</v>
      </c>
      <c r="E72" s="109">
        <v>-23.933737500000003</v>
      </c>
      <c r="F72" s="18">
        <v>2008</v>
      </c>
      <c r="G72" s="19" t="s">
        <v>90</v>
      </c>
      <c r="H72" s="17" t="s">
        <v>188</v>
      </c>
      <c r="I72" s="17" t="s">
        <v>91</v>
      </c>
      <c r="J72" s="18" t="s">
        <v>20</v>
      </c>
      <c r="K72" s="5">
        <v>600</v>
      </c>
      <c r="L72" s="10">
        <v>146</v>
      </c>
      <c r="M72" s="111" t="s">
        <v>50</v>
      </c>
      <c r="N72" s="158" t="s">
        <v>88</v>
      </c>
      <c r="O72" s="10">
        <v>36.274999999999999</v>
      </c>
      <c r="P72" s="10"/>
      <c r="S72" s="17"/>
      <c r="T72" s="5"/>
      <c r="U72" s="5"/>
    </row>
    <row r="73" spans="1:21" ht="14.25" customHeight="1">
      <c r="A73" s="18" t="s">
        <v>94</v>
      </c>
      <c r="B73" s="17" t="s">
        <v>89</v>
      </c>
      <c r="C73" s="158" t="s">
        <v>111</v>
      </c>
      <c r="D73" s="109">
        <v>-47.889237684691636</v>
      </c>
      <c r="E73" s="109">
        <v>-22.015998500000002</v>
      </c>
      <c r="F73" s="18">
        <v>2008</v>
      </c>
      <c r="G73" s="19" t="s">
        <v>90</v>
      </c>
      <c r="H73" s="17" t="s">
        <v>188</v>
      </c>
      <c r="I73" s="17" t="s">
        <v>91</v>
      </c>
      <c r="J73" s="18" t="s">
        <v>20</v>
      </c>
      <c r="K73" s="5">
        <v>600</v>
      </c>
      <c r="L73" s="10">
        <v>146</v>
      </c>
      <c r="M73" s="111" t="s">
        <v>50</v>
      </c>
      <c r="N73" s="158" t="s">
        <v>88</v>
      </c>
      <c r="O73" s="10">
        <v>85.875</v>
      </c>
      <c r="P73" s="10"/>
      <c r="S73" s="158"/>
      <c r="T73" s="10"/>
      <c r="U73" s="5"/>
    </row>
    <row r="74" spans="1:21" ht="14.25" customHeight="1">
      <c r="A74" s="18" t="s">
        <v>94</v>
      </c>
      <c r="B74" s="17" t="s">
        <v>89</v>
      </c>
      <c r="C74" s="158" t="s">
        <v>131</v>
      </c>
      <c r="D74" s="109">
        <v>-49.381347685025794</v>
      </c>
      <c r="E74" s="109">
        <v>-20.812636500000004</v>
      </c>
      <c r="F74" s="18">
        <v>2008</v>
      </c>
      <c r="G74" s="19" t="s">
        <v>90</v>
      </c>
      <c r="H74" s="17" t="s">
        <v>188</v>
      </c>
      <c r="I74" s="17" t="s">
        <v>91</v>
      </c>
      <c r="J74" s="18" t="s">
        <v>20</v>
      </c>
      <c r="K74" s="5">
        <v>600</v>
      </c>
      <c r="L74" s="10">
        <v>146</v>
      </c>
      <c r="M74" s="111" t="s">
        <v>50</v>
      </c>
      <c r="N74" s="158" t="s">
        <v>88</v>
      </c>
      <c r="O74" s="10">
        <v>44.525000000000006</v>
      </c>
      <c r="P74" s="10"/>
      <c r="S74" s="158"/>
      <c r="T74" s="10"/>
      <c r="U74" s="5"/>
    </row>
    <row r="75" spans="1:21" ht="14.25" customHeight="1">
      <c r="A75" s="18" t="s">
        <v>94</v>
      </c>
      <c r="B75" s="17" t="s">
        <v>89</v>
      </c>
      <c r="C75" s="158" t="s">
        <v>113</v>
      </c>
      <c r="D75" s="109">
        <v>-45.402680140543957</v>
      </c>
      <c r="E75" s="109">
        <v>-23.806687652148753</v>
      </c>
      <c r="F75" s="18">
        <v>2008</v>
      </c>
      <c r="G75" s="19" t="s">
        <v>90</v>
      </c>
      <c r="H75" s="17" t="s">
        <v>188</v>
      </c>
      <c r="I75" s="17" t="s">
        <v>91</v>
      </c>
      <c r="J75" s="18" t="s">
        <v>20</v>
      </c>
      <c r="K75" s="5">
        <v>600</v>
      </c>
      <c r="L75" s="10">
        <v>146</v>
      </c>
      <c r="M75" s="111" t="s">
        <v>50</v>
      </c>
      <c r="N75" s="158" t="s">
        <v>88</v>
      </c>
      <c r="O75" s="10">
        <v>62.324999999999996</v>
      </c>
      <c r="P75" s="10"/>
      <c r="S75" s="158"/>
      <c r="T75" s="10"/>
      <c r="U75" s="5"/>
    </row>
    <row r="76" spans="1:21" ht="14.25" customHeight="1">
      <c r="A76" s="18" t="s">
        <v>94</v>
      </c>
      <c r="B76" s="17" t="s">
        <v>89</v>
      </c>
      <c r="C76" s="158" t="s">
        <v>146</v>
      </c>
      <c r="D76" s="109">
        <v>-54.58710248860465</v>
      </c>
      <c r="E76" s="109">
        <v>-25.542493279529253</v>
      </c>
      <c r="F76" s="18">
        <v>2008</v>
      </c>
      <c r="G76" s="19" t="s">
        <v>90</v>
      </c>
      <c r="H76" s="17" t="s">
        <v>188</v>
      </c>
      <c r="I76" s="17" t="s">
        <v>91</v>
      </c>
      <c r="J76" s="18" t="s">
        <v>20</v>
      </c>
      <c r="K76" s="5">
        <v>750</v>
      </c>
      <c r="L76" s="10">
        <v>146</v>
      </c>
      <c r="M76" s="111" t="s">
        <v>50</v>
      </c>
      <c r="N76" s="158" t="s">
        <v>88</v>
      </c>
      <c r="O76" s="10">
        <v>58.08</v>
      </c>
      <c r="P76" s="10"/>
      <c r="S76" s="158"/>
      <c r="T76" s="10"/>
      <c r="U76" s="5"/>
    </row>
    <row r="77" spans="1:21" ht="14.25" customHeight="1">
      <c r="A77" s="18" t="s">
        <v>94</v>
      </c>
      <c r="B77" s="17" t="s">
        <v>89</v>
      </c>
      <c r="C77" s="158" t="s">
        <v>147</v>
      </c>
      <c r="D77" s="109">
        <v>-51.939881870252066</v>
      </c>
      <c r="E77" s="109">
        <v>-23.422280000000004</v>
      </c>
      <c r="F77" s="18">
        <v>2008</v>
      </c>
      <c r="G77" s="19" t="s">
        <v>90</v>
      </c>
      <c r="H77" s="17" t="s">
        <v>188</v>
      </c>
      <c r="I77" s="17" t="s">
        <v>91</v>
      </c>
      <c r="J77" s="18" t="s">
        <v>20</v>
      </c>
      <c r="K77" s="5">
        <v>750</v>
      </c>
      <c r="L77" s="10">
        <v>146</v>
      </c>
      <c r="M77" s="111" t="s">
        <v>50</v>
      </c>
      <c r="N77" s="158" t="s">
        <v>88</v>
      </c>
      <c r="O77" s="10">
        <v>52.940000000000012</v>
      </c>
      <c r="P77" s="10"/>
      <c r="S77" s="158"/>
      <c r="T77" s="5"/>
      <c r="U77" s="5"/>
    </row>
    <row r="78" spans="1:21" ht="14.25" customHeight="1">
      <c r="A78" s="18" t="s">
        <v>94</v>
      </c>
      <c r="B78" s="17" t="s">
        <v>89</v>
      </c>
      <c r="C78" s="158" t="s">
        <v>150</v>
      </c>
      <c r="D78" s="109">
        <v>-45.004168437028525</v>
      </c>
      <c r="E78" s="109">
        <v>-12.144924888390602</v>
      </c>
      <c r="F78" s="18">
        <v>2008</v>
      </c>
      <c r="G78" s="19" t="s">
        <v>90</v>
      </c>
      <c r="H78" s="17" t="s">
        <v>188</v>
      </c>
      <c r="I78" s="17" t="s">
        <v>91</v>
      </c>
      <c r="J78" s="18" t="s">
        <v>20</v>
      </c>
      <c r="K78" s="5">
        <v>600</v>
      </c>
      <c r="L78" s="10">
        <v>146</v>
      </c>
      <c r="M78" s="111" t="s">
        <v>50</v>
      </c>
      <c r="N78" s="158" t="s">
        <v>88</v>
      </c>
      <c r="O78" s="10">
        <v>75.400000000000006</v>
      </c>
      <c r="P78" s="10"/>
      <c r="S78" s="158"/>
      <c r="T78" s="5"/>
      <c r="U78" s="5"/>
    </row>
    <row r="79" spans="1:21" ht="14.25" customHeight="1">
      <c r="A79" s="18" t="s">
        <v>94</v>
      </c>
      <c r="B79" s="17" t="s">
        <v>89</v>
      </c>
      <c r="C79" s="17" t="s">
        <v>149</v>
      </c>
      <c r="D79" s="109">
        <v>-40.513017627870106</v>
      </c>
      <c r="E79" s="109">
        <v>-11.185062160141854</v>
      </c>
      <c r="F79" s="18">
        <v>2008</v>
      </c>
      <c r="G79" s="19" t="s">
        <v>90</v>
      </c>
      <c r="H79" s="17" t="s">
        <v>188</v>
      </c>
      <c r="I79" s="17" t="s">
        <v>91</v>
      </c>
      <c r="J79" s="18" t="s">
        <v>20</v>
      </c>
      <c r="K79" s="5">
        <v>600</v>
      </c>
      <c r="L79" s="10">
        <v>146</v>
      </c>
      <c r="M79" s="111" t="s">
        <v>50</v>
      </c>
      <c r="N79" s="158" t="s">
        <v>88</v>
      </c>
      <c r="O79" s="10">
        <v>68.900000000000006</v>
      </c>
      <c r="P79" s="10"/>
      <c r="S79" s="83"/>
      <c r="T79" s="10"/>
      <c r="U79" s="5"/>
    </row>
    <row r="80" spans="1:21" ht="14.25" customHeight="1">
      <c r="A80" s="18" t="s">
        <v>94</v>
      </c>
      <c r="B80" s="17" t="s">
        <v>89</v>
      </c>
      <c r="C80" s="17" t="s">
        <v>148</v>
      </c>
      <c r="D80" s="109">
        <v>-38.488061484007851</v>
      </c>
      <c r="E80" s="109">
        <v>-13.014771911532753</v>
      </c>
      <c r="F80" s="18">
        <v>2008</v>
      </c>
      <c r="G80" s="19" t="s">
        <v>90</v>
      </c>
      <c r="H80" s="17" t="s">
        <v>188</v>
      </c>
      <c r="I80" s="17" t="s">
        <v>91</v>
      </c>
      <c r="J80" s="18" t="s">
        <v>20</v>
      </c>
      <c r="K80" s="5">
        <v>800</v>
      </c>
      <c r="L80" s="10">
        <v>146</v>
      </c>
      <c r="M80" s="111" t="s">
        <v>50</v>
      </c>
      <c r="N80" s="158" t="s">
        <v>88</v>
      </c>
      <c r="O80" s="10">
        <v>91.433333333333337</v>
      </c>
      <c r="P80" s="10"/>
      <c r="S80" s="158"/>
      <c r="T80" s="10"/>
      <c r="U80" s="5"/>
    </row>
    <row r="81" spans="1:21" ht="14.25" customHeight="1" thickBot="1">
      <c r="A81" s="21" t="s">
        <v>94</v>
      </c>
      <c r="B81" s="21" t="s">
        <v>89</v>
      </c>
      <c r="C81" s="21" t="s">
        <v>135</v>
      </c>
      <c r="D81" s="110">
        <v>-48.037211274124623</v>
      </c>
      <c r="E81" s="110">
        <v>-16.056078214198152</v>
      </c>
      <c r="F81" s="21">
        <v>2008</v>
      </c>
      <c r="G81" s="22" t="s">
        <v>90</v>
      </c>
      <c r="H81" s="21" t="s">
        <v>188</v>
      </c>
      <c r="I81" s="21" t="s">
        <v>91</v>
      </c>
      <c r="J81" s="21" t="s">
        <v>20</v>
      </c>
      <c r="K81" s="6">
        <v>600</v>
      </c>
      <c r="L81" s="30">
        <v>146</v>
      </c>
      <c r="M81" s="114" t="s">
        <v>50</v>
      </c>
      <c r="N81" s="11" t="s">
        <v>88</v>
      </c>
      <c r="O81" s="30">
        <v>53.35</v>
      </c>
      <c r="P81" s="11"/>
      <c r="S81" s="158"/>
      <c r="T81" s="5"/>
      <c r="U81" s="5"/>
    </row>
    <row r="82" spans="1:21" ht="14.25" customHeight="1">
      <c r="A82" s="18" t="s">
        <v>94</v>
      </c>
      <c r="B82" s="17" t="s">
        <v>89</v>
      </c>
      <c r="C82" s="20" t="s">
        <v>124</v>
      </c>
      <c r="D82" s="261"/>
      <c r="E82" s="262"/>
      <c r="F82" s="17">
        <v>2008</v>
      </c>
      <c r="G82" s="19" t="s">
        <v>90</v>
      </c>
      <c r="H82" s="17" t="s">
        <v>188</v>
      </c>
      <c r="I82" s="17" t="s">
        <v>91</v>
      </c>
      <c r="J82" s="18" t="s">
        <v>93</v>
      </c>
      <c r="K82" s="158">
        <v>600</v>
      </c>
      <c r="L82" s="10">
        <v>146</v>
      </c>
      <c r="M82" s="111" t="s">
        <v>50</v>
      </c>
      <c r="N82" s="158" t="s">
        <v>88</v>
      </c>
      <c r="O82" s="5">
        <v>100</v>
      </c>
      <c r="P82" s="24">
        <v>0</v>
      </c>
      <c r="S82" s="158"/>
      <c r="T82" s="5"/>
      <c r="U82" s="5"/>
    </row>
    <row r="83" spans="1:21" ht="14.25" customHeight="1">
      <c r="A83" s="18" t="s">
        <v>94</v>
      </c>
      <c r="B83" s="17" t="s">
        <v>89</v>
      </c>
      <c r="C83" s="18" t="s">
        <v>100</v>
      </c>
      <c r="D83" s="109">
        <v>-50.439226072752582</v>
      </c>
      <c r="E83" s="109">
        <v>-21.205476000000004</v>
      </c>
      <c r="F83" s="18">
        <v>2008</v>
      </c>
      <c r="G83" s="19" t="s">
        <v>90</v>
      </c>
      <c r="H83" s="17" t="s">
        <v>188</v>
      </c>
      <c r="I83" s="17" t="s">
        <v>91</v>
      </c>
      <c r="J83" s="158" t="s">
        <v>93</v>
      </c>
      <c r="K83" s="5">
        <v>750</v>
      </c>
      <c r="L83" s="10">
        <v>292</v>
      </c>
      <c r="M83" s="111" t="s">
        <v>50</v>
      </c>
      <c r="N83" s="158" t="s">
        <v>88</v>
      </c>
      <c r="O83" s="5">
        <v>100</v>
      </c>
      <c r="P83" s="24">
        <v>0</v>
      </c>
      <c r="T83" s="5"/>
      <c r="U83" s="5"/>
    </row>
    <row r="84" spans="1:21" ht="14.25" customHeight="1">
      <c r="A84" s="18" t="s">
        <v>94</v>
      </c>
      <c r="B84" s="17" t="s">
        <v>89</v>
      </c>
      <c r="C84" s="27" t="s">
        <v>101</v>
      </c>
      <c r="D84" s="109">
        <v>-48.567377839455055</v>
      </c>
      <c r="E84" s="109">
        <v>-20.558455515000002</v>
      </c>
      <c r="F84" s="18">
        <v>2008</v>
      </c>
      <c r="G84" s="19" t="s">
        <v>90</v>
      </c>
      <c r="H84" s="17" t="s">
        <v>188</v>
      </c>
      <c r="I84" s="17" t="s">
        <v>91</v>
      </c>
      <c r="J84" s="158" t="s">
        <v>93</v>
      </c>
      <c r="K84" s="5">
        <v>800</v>
      </c>
      <c r="L84" s="10">
        <v>292</v>
      </c>
      <c r="M84" s="111" t="s">
        <v>50</v>
      </c>
      <c r="N84" s="158" t="s">
        <v>88</v>
      </c>
      <c r="O84" s="10">
        <v>97.283333333333346</v>
      </c>
      <c r="P84" s="24">
        <v>0.3</v>
      </c>
      <c r="T84" s="5"/>
      <c r="U84" s="5"/>
    </row>
    <row r="85" spans="1:21" ht="14.25" customHeight="1">
      <c r="A85" s="18" t="s">
        <v>94</v>
      </c>
      <c r="B85" s="17" t="s">
        <v>89</v>
      </c>
      <c r="C85" s="17" t="s">
        <v>133</v>
      </c>
      <c r="D85" s="109">
        <v>-49.083000867090362</v>
      </c>
      <c r="E85" s="109">
        <v>-22.325122500000006</v>
      </c>
      <c r="F85" s="18">
        <v>2008</v>
      </c>
      <c r="G85" s="19" t="s">
        <v>90</v>
      </c>
      <c r="H85" s="17" t="s">
        <v>188</v>
      </c>
      <c r="I85" s="17" t="s">
        <v>91</v>
      </c>
      <c r="J85" s="158" t="s">
        <v>93</v>
      </c>
      <c r="K85" s="5">
        <v>600</v>
      </c>
      <c r="L85" s="10">
        <v>292</v>
      </c>
      <c r="M85" s="111" t="s">
        <v>50</v>
      </c>
      <c r="N85" s="158" t="s">
        <v>88</v>
      </c>
      <c r="O85" s="5">
        <v>100</v>
      </c>
      <c r="P85" s="24">
        <v>0</v>
      </c>
      <c r="T85" s="10"/>
      <c r="U85" s="5"/>
    </row>
    <row r="86" spans="1:21" ht="14.25" customHeight="1">
      <c r="A86" s="18" t="s">
        <v>94</v>
      </c>
      <c r="B86" s="17" t="s">
        <v>89</v>
      </c>
      <c r="C86" s="18" t="s">
        <v>103</v>
      </c>
      <c r="D86" s="109">
        <v>-48.441289384350434</v>
      </c>
      <c r="E86" s="109">
        <v>-22.888381500000008</v>
      </c>
      <c r="F86" s="18">
        <v>2008</v>
      </c>
      <c r="G86" s="19" t="s">
        <v>90</v>
      </c>
      <c r="H86" s="17" t="s">
        <v>188</v>
      </c>
      <c r="I86" s="17" t="s">
        <v>91</v>
      </c>
      <c r="J86" s="158" t="s">
        <v>93</v>
      </c>
      <c r="K86" s="5">
        <v>600</v>
      </c>
      <c r="L86" s="10">
        <v>292</v>
      </c>
      <c r="M86" s="111" t="s">
        <v>50</v>
      </c>
      <c r="N86" s="158" t="s">
        <v>88</v>
      </c>
      <c r="O86" s="5">
        <v>100</v>
      </c>
      <c r="P86" s="24">
        <v>0</v>
      </c>
      <c r="T86" s="17"/>
      <c r="U86" s="17"/>
    </row>
    <row r="87" spans="1:21" ht="14.25" customHeight="1">
      <c r="A87" s="18" t="s">
        <v>94</v>
      </c>
      <c r="B87" s="17" t="s">
        <v>89</v>
      </c>
      <c r="C87" s="18" t="s">
        <v>134</v>
      </c>
      <c r="D87" s="109">
        <v>-47.299749835960981</v>
      </c>
      <c r="E87" s="109">
        <v>-23.265442500000002</v>
      </c>
      <c r="F87" s="18">
        <v>2008</v>
      </c>
      <c r="G87" s="19" t="s">
        <v>90</v>
      </c>
      <c r="H87" s="17" t="s">
        <v>188</v>
      </c>
      <c r="I87" s="17" t="s">
        <v>91</v>
      </c>
      <c r="J87" s="158" t="s">
        <v>93</v>
      </c>
      <c r="K87" s="5">
        <v>600</v>
      </c>
      <c r="L87" s="10">
        <v>292</v>
      </c>
      <c r="M87" s="111" t="s">
        <v>50</v>
      </c>
      <c r="N87" s="158" t="s">
        <v>88</v>
      </c>
      <c r="O87" s="5">
        <v>100</v>
      </c>
      <c r="P87" s="24">
        <v>0</v>
      </c>
    </row>
    <row r="88" spans="1:21" ht="14.25" customHeight="1">
      <c r="A88" s="18" t="s">
        <v>94</v>
      </c>
      <c r="B88" s="17" t="s">
        <v>89</v>
      </c>
      <c r="C88" s="27" t="s">
        <v>95</v>
      </c>
      <c r="D88" s="109">
        <v>-46.570383182112749</v>
      </c>
      <c r="E88" s="109">
        <v>-23.567386500000001</v>
      </c>
      <c r="F88" s="18">
        <v>2008</v>
      </c>
      <c r="G88" s="19" t="s">
        <v>90</v>
      </c>
      <c r="H88" s="17" t="s">
        <v>188</v>
      </c>
      <c r="I88" s="17" t="s">
        <v>91</v>
      </c>
      <c r="J88" s="158" t="s">
        <v>93</v>
      </c>
      <c r="K88" s="5">
        <v>750</v>
      </c>
      <c r="L88" s="10">
        <v>292</v>
      </c>
      <c r="M88" s="111" t="s">
        <v>50</v>
      </c>
      <c r="N88" s="158" t="s">
        <v>88</v>
      </c>
      <c r="O88" s="10">
        <v>98.460000000000008</v>
      </c>
      <c r="P88" s="24">
        <v>0.2</v>
      </c>
    </row>
    <row r="89" spans="1:21" ht="14.25" customHeight="1">
      <c r="A89" s="18" t="s">
        <v>94</v>
      </c>
      <c r="B89" s="17" t="s">
        <v>89</v>
      </c>
      <c r="C89" s="18" t="s">
        <v>108</v>
      </c>
      <c r="D89" s="109">
        <v>-51.386765581912492</v>
      </c>
      <c r="E89" s="109">
        <v>-22.122743500000002</v>
      </c>
      <c r="F89" s="18">
        <v>2008</v>
      </c>
      <c r="G89" s="19" t="s">
        <v>90</v>
      </c>
      <c r="H89" s="17" t="s">
        <v>188</v>
      </c>
      <c r="I89" s="17" t="s">
        <v>91</v>
      </c>
      <c r="J89" s="158" t="s">
        <v>93</v>
      </c>
      <c r="K89" s="5">
        <v>600</v>
      </c>
      <c r="L89" s="10">
        <v>292</v>
      </c>
      <c r="M89" s="111" t="s">
        <v>50</v>
      </c>
      <c r="N89" s="158" t="s">
        <v>88</v>
      </c>
      <c r="O89" s="5">
        <v>100</v>
      </c>
      <c r="P89" s="24">
        <v>0</v>
      </c>
    </row>
    <row r="90" spans="1:21" ht="14.25" customHeight="1">
      <c r="A90" s="18" t="s">
        <v>94</v>
      </c>
      <c r="B90" s="17" t="s">
        <v>89</v>
      </c>
      <c r="C90" s="27" t="s">
        <v>109</v>
      </c>
      <c r="D90" s="109">
        <v>-47.805475915541528</v>
      </c>
      <c r="E90" s="109">
        <v>-21.184834500000004</v>
      </c>
      <c r="F90" s="18">
        <v>2008</v>
      </c>
      <c r="G90" s="19" t="s">
        <v>90</v>
      </c>
      <c r="H90" s="17" t="s">
        <v>188</v>
      </c>
      <c r="I90" s="17" t="s">
        <v>91</v>
      </c>
      <c r="J90" s="158" t="s">
        <v>93</v>
      </c>
      <c r="K90" s="5">
        <v>750</v>
      </c>
      <c r="L90" s="10">
        <v>292</v>
      </c>
      <c r="M90" s="111" t="s">
        <v>50</v>
      </c>
      <c r="N90" s="158" t="s">
        <v>88</v>
      </c>
      <c r="O90" s="10">
        <v>99</v>
      </c>
      <c r="P90" s="24">
        <v>0.1</v>
      </c>
    </row>
    <row r="91" spans="1:21" ht="14.25" customHeight="1">
      <c r="A91" s="18" t="s">
        <v>94</v>
      </c>
      <c r="B91" s="17" t="s">
        <v>89</v>
      </c>
      <c r="C91" s="18" t="s">
        <v>127</v>
      </c>
      <c r="D91" s="109">
        <v>-46.922092505649722</v>
      </c>
      <c r="E91" s="109">
        <v>-23.449453000000005</v>
      </c>
      <c r="F91" s="18">
        <v>2008</v>
      </c>
      <c r="G91" s="19" t="s">
        <v>90</v>
      </c>
      <c r="H91" s="17" t="s">
        <v>188</v>
      </c>
      <c r="I91" s="17" t="s">
        <v>91</v>
      </c>
      <c r="J91" s="158" t="s">
        <v>93</v>
      </c>
      <c r="K91" s="5">
        <v>600</v>
      </c>
      <c r="L91" s="10">
        <v>292</v>
      </c>
      <c r="M91" s="111" t="s">
        <v>50</v>
      </c>
      <c r="N91" s="158" t="s">
        <v>88</v>
      </c>
      <c r="O91" s="10">
        <v>99.75</v>
      </c>
      <c r="P91" s="24">
        <v>0.2</v>
      </c>
    </row>
    <row r="92" spans="1:21" ht="14.25" customHeight="1">
      <c r="A92" s="18" t="s">
        <v>94</v>
      </c>
      <c r="B92" s="17" t="s">
        <v>89</v>
      </c>
      <c r="C92" s="27" t="s">
        <v>110</v>
      </c>
      <c r="D92" s="109">
        <v>-46.331370849190684</v>
      </c>
      <c r="E92" s="109">
        <v>-23.933737500000003</v>
      </c>
      <c r="F92" s="18">
        <v>2008</v>
      </c>
      <c r="G92" s="19" t="s">
        <v>90</v>
      </c>
      <c r="H92" s="17" t="s">
        <v>188</v>
      </c>
      <c r="I92" s="17" t="s">
        <v>91</v>
      </c>
      <c r="J92" s="158" t="s">
        <v>93</v>
      </c>
      <c r="K92" s="5">
        <v>600</v>
      </c>
      <c r="L92" s="10">
        <v>292</v>
      </c>
      <c r="M92" s="111" t="s">
        <v>50</v>
      </c>
      <c r="N92" s="158" t="s">
        <v>88</v>
      </c>
      <c r="O92" s="10">
        <v>98.925000000000011</v>
      </c>
      <c r="P92" s="24">
        <v>0.2</v>
      </c>
    </row>
    <row r="93" spans="1:21" ht="14.25" customHeight="1">
      <c r="A93" s="18" t="s">
        <v>94</v>
      </c>
      <c r="B93" s="17" t="s">
        <v>89</v>
      </c>
      <c r="C93" s="158" t="s">
        <v>111</v>
      </c>
      <c r="D93" s="109">
        <v>-47.889237684691636</v>
      </c>
      <c r="E93" s="109">
        <v>-22.015998500000002</v>
      </c>
      <c r="F93" s="18">
        <v>2008</v>
      </c>
      <c r="G93" s="19" t="s">
        <v>90</v>
      </c>
      <c r="H93" s="17" t="s">
        <v>188</v>
      </c>
      <c r="I93" s="17" t="s">
        <v>91</v>
      </c>
      <c r="J93" s="158" t="s">
        <v>93</v>
      </c>
      <c r="K93" s="5">
        <v>600</v>
      </c>
      <c r="L93" s="10">
        <v>292</v>
      </c>
      <c r="M93" s="111" t="s">
        <v>50</v>
      </c>
      <c r="N93" s="158" t="s">
        <v>88</v>
      </c>
      <c r="O93" s="10">
        <v>99.4</v>
      </c>
      <c r="P93" s="24">
        <v>0.1</v>
      </c>
    </row>
    <row r="94" spans="1:21" ht="14.25" customHeight="1">
      <c r="A94" s="18" t="s">
        <v>94</v>
      </c>
      <c r="B94" s="17" t="s">
        <v>89</v>
      </c>
      <c r="C94" s="158" t="s">
        <v>131</v>
      </c>
      <c r="D94" s="109">
        <v>-49.381347685025794</v>
      </c>
      <c r="E94" s="109">
        <v>-20.812636500000004</v>
      </c>
      <c r="F94" s="18">
        <v>2008</v>
      </c>
      <c r="G94" s="19" t="s">
        <v>90</v>
      </c>
      <c r="H94" s="17" t="s">
        <v>188</v>
      </c>
      <c r="I94" s="17" t="s">
        <v>91</v>
      </c>
      <c r="J94" s="158" t="s">
        <v>93</v>
      </c>
      <c r="K94" s="5">
        <v>600</v>
      </c>
      <c r="L94" s="10">
        <v>292</v>
      </c>
      <c r="M94" s="111" t="s">
        <v>50</v>
      </c>
      <c r="N94" s="158" t="s">
        <v>88</v>
      </c>
      <c r="O94" s="5">
        <v>100</v>
      </c>
      <c r="P94" s="24">
        <v>0</v>
      </c>
    </row>
    <row r="95" spans="1:21" ht="14.25" customHeight="1">
      <c r="A95" s="18" t="s">
        <v>94</v>
      </c>
      <c r="B95" s="17" t="s">
        <v>89</v>
      </c>
      <c r="C95" s="158" t="s">
        <v>113</v>
      </c>
      <c r="D95" s="109">
        <v>-45.402680140543957</v>
      </c>
      <c r="E95" s="109">
        <v>-23.806687652148753</v>
      </c>
      <c r="F95" s="18">
        <v>2008</v>
      </c>
      <c r="G95" s="19" t="s">
        <v>90</v>
      </c>
      <c r="H95" s="17" t="s">
        <v>188</v>
      </c>
      <c r="I95" s="17" t="s">
        <v>91</v>
      </c>
      <c r="J95" s="158" t="s">
        <v>93</v>
      </c>
      <c r="K95" s="5">
        <v>600</v>
      </c>
      <c r="L95" s="10">
        <v>292</v>
      </c>
      <c r="M95" s="111" t="s">
        <v>50</v>
      </c>
      <c r="N95" s="158" t="s">
        <v>88</v>
      </c>
      <c r="O95" s="5">
        <v>100</v>
      </c>
      <c r="P95" s="24">
        <v>0</v>
      </c>
    </row>
    <row r="96" spans="1:21" ht="14.25" customHeight="1">
      <c r="A96" s="18" t="s">
        <v>94</v>
      </c>
      <c r="B96" s="17" t="s">
        <v>89</v>
      </c>
      <c r="C96" s="158" t="s">
        <v>146</v>
      </c>
      <c r="D96" s="109">
        <v>-54.58710248860465</v>
      </c>
      <c r="E96" s="109">
        <v>-25.542493279529253</v>
      </c>
      <c r="F96" s="18">
        <v>2008</v>
      </c>
      <c r="G96" s="19" t="s">
        <v>90</v>
      </c>
      <c r="H96" s="17" t="s">
        <v>188</v>
      </c>
      <c r="I96" s="17" t="s">
        <v>91</v>
      </c>
      <c r="J96" s="158" t="s">
        <v>93</v>
      </c>
      <c r="K96" s="5">
        <v>600</v>
      </c>
      <c r="L96" s="10">
        <v>292</v>
      </c>
      <c r="M96" s="111" t="s">
        <v>50</v>
      </c>
      <c r="N96" s="158" t="s">
        <v>88</v>
      </c>
      <c r="O96" s="10">
        <v>99.5</v>
      </c>
      <c r="P96" s="24">
        <v>0.2</v>
      </c>
    </row>
    <row r="97" spans="1:19" ht="14.25" customHeight="1">
      <c r="A97" s="18" t="s">
        <v>94</v>
      </c>
      <c r="B97" s="17" t="s">
        <v>89</v>
      </c>
      <c r="C97" s="158" t="s">
        <v>147</v>
      </c>
      <c r="D97" s="109">
        <v>-51.939881870252066</v>
      </c>
      <c r="E97" s="109">
        <v>-23.422280000000004</v>
      </c>
      <c r="F97" s="18">
        <v>2008</v>
      </c>
      <c r="G97" s="19" t="s">
        <v>90</v>
      </c>
      <c r="H97" s="17" t="s">
        <v>188</v>
      </c>
      <c r="I97" s="17" t="s">
        <v>91</v>
      </c>
      <c r="J97" s="158" t="s">
        <v>93</v>
      </c>
      <c r="K97" s="5">
        <v>600</v>
      </c>
      <c r="L97" s="10">
        <v>292</v>
      </c>
      <c r="M97" s="111" t="s">
        <v>50</v>
      </c>
      <c r="N97" s="158" t="s">
        <v>88</v>
      </c>
      <c r="O97" s="5">
        <v>100</v>
      </c>
      <c r="P97" s="24">
        <v>0</v>
      </c>
    </row>
    <row r="98" spans="1:19" ht="14.25" customHeight="1">
      <c r="A98" s="18" t="s">
        <v>94</v>
      </c>
      <c r="B98" s="17" t="s">
        <v>89</v>
      </c>
      <c r="C98" s="158" t="s">
        <v>150</v>
      </c>
      <c r="D98" s="109">
        <v>-45.004168437028525</v>
      </c>
      <c r="E98" s="109">
        <v>-12.144924888390602</v>
      </c>
      <c r="F98" s="18">
        <v>2008</v>
      </c>
      <c r="G98" s="19" t="s">
        <v>90</v>
      </c>
      <c r="H98" s="17" t="s">
        <v>188</v>
      </c>
      <c r="I98" s="17" t="s">
        <v>91</v>
      </c>
      <c r="J98" s="158" t="s">
        <v>93</v>
      </c>
      <c r="K98" s="5">
        <v>600</v>
      </c>
      <c r="L98" s="10">
        <v>292</v>
      </c>
      <c r="M98" s="111" t="s">
        <v>50</v>
      </c>
      <c r="N98" s="158" t="s">
        <v>88</v>
      </c>
      <c r="O98" s="5">
        <v>100</v>
      </c>
      <c r="P98" s="24">
        <v>0</v>
      </c>
    </row>
    <row r="99" spans="1:19" ht="14.25" customHeight="1">
      <c r="A99" s="18" t="s">
        <v>94</v>
      </c>
      <c r="B99" s="17" t="s">
        <v>89</v>
      </c>
      <c r="C99" s="17" t="s">
        <v>149</v>
      </c>
      <c r="D99" s="109">
        <v>-40.513017627870106</v>
      </c>
      <c r="E99" s="109">
        <v>-11.185062160141854</v>
      </c>
      <c r="F99" s="18">
        <v>2008</v>
      </c>
      <c r="G99" s="19" t="s">
        <v>90</v>
      </c>
      <c r="H99" s="17" t="s">
        <v>188</v>
      </c>
      <c r="I99" s="17" t="s">
        <v>91</v>
      </c>
      <c r="J99" s="158" t="s">
        <v>93</v>
      </c>
      <c r="K99" s="5">
        <v>600</v>
      </c>
      <c r="L99" s="10">
        <v>292</v>
      </c>
      <c r="M99" s="111" t="s">
        <v>50</v>
      </c>
      <c r="N99" s="158" t="s">
        <v>88</v>
      </c>
      <c r="O99" s="5">
        <v>100</v>
      </c>
      <c r="P99" s="24">
        <v>0</v>
      </c>
      <c r="R99" s="288"/>
      <c r="S99" s="288"/>
    </row>
    <row r="100" spans="1:19" ht="14.25" customHeight="1">
      <c r="A100" s="18" t="s">
        <v>94</v>
      </c>
      <c r="B100" s="17" t="s">
        <v>89</v>
      </c>
      <c r="C100" s="17" t="s">
        <v>148</v>
      </c>
      <c r="D100" s="109">
        <v>-45.004168437028525</v>
      </c>
      <c r="E100" s="109">
        <v>-12.144924888390602</v>
      </c>
      <c r="F100" s="18">
        <v>2008</v>
      </c>
      <c r="G100" s="19" t="s">
        <v>90</v>
      </c>
      <c r="H100" s="17" t="s">
        <v>188</v>
      </c>
      <c r="I100" s="17" t="s">
        <v>91</v>
      </c>
      <c r="J100" s="158" t="s">
        <v>93</v>
      </c>
      <c r="K100" s="5">
        <v>600</v>
      </c>
      <c r="L100" s="10">
        <v>292</v>
      </c>
      <c r="M100" s="111" t="s">
        <v>50</v>
      </c>
      <c r="N100" s="158" t="s">
        <v>88</v>
      </c>
      <c r="O100" s="5">
        <v>100</v>
      </c>
      <c r="P100" s="24">
        <v>0</v>
      </c>
      <c r="R100" s="288"/>
      <c r="S100" s="288"/>
    </row>
    <row r="101" spans="1:19" ht="14.25" customHeight="1" thickBot="1">
      <c r="A101" s="21" t="s">
        <v>94</v>
      </c>
      <c r="B101" s="21" t="s">
        <v>89</v>
      </c>
      <c r="C101" s="21" t="s">
        <v>135</v>
      </c>
      <c r="D101" s="110">
        <v>-48.037211274124623</v>
      </c>
      <c r="E101" s="110">
        <v>-16.056078214198152</v>
      </c>
      <c r="F101" s="21">
        <v>2008</v>
      </c>
      <c r="G101" s="22" t="s">
        <v>90</v>
      </c>
      <c r="H101" s="21" t="s">
        <v>188</v>
      </c>
      <c r="I101" s="21" t="s">
        <v>91</v>
      </c>
      <c r="J101" s="11" t="s">
        <v>93</v>
      </c>
      <c r="K101" s="6">
        <v>600</v>
      </c>
      <c r="L101" s="30">
        <v>292</v>
      </c>
      <c r="M101" s="114" t="s">
        <v>50</v>
      </c>
      <c r="N101" s="11" t="s">
        <v>88</v>
      </c>
      <c r="O101" s="30">
        <v>99.5</v>
      </c>
      <c r="P101" s="25">
        <v>0.2</v>
      </c>
      <c r="R101" s="158"/>
      <c r="S101" s="158"/>
    </row>
    <row r="102" spans="1:19" ht="14.25" customHeight="1">
      <c r="A102" s="17" t="s">
        <v>94</v>
      </c>
      <c r="B102" s="17" t="s">
        <v>89</v>
      </c>
      <c r="C102" s="20" t="s">
        <v>124</v>
      </c>
      <c r="D102" s="261"/>
      <c r="E102" s="262"/>
      <c r="F102" s="17">
        <v>2008</v>
      </c>
      <c r="G102" s="19" t="s">
        <v>90</v>
      </c>
      <c r="H102" s="17" t="s">
        <v>188</v>
      </c>
      <c r="I102" s="17" t="s">
        <v>91</v>
      </c>
      <c r="J102" s="18" t="s">
        <v>21</v>
      </c>
      <c r="K102" s="158">
        <v>600</v>
      </c>
      <c r="L102" s="31">
        <v>9</v>
      </c>
      <c r="M102" s="111" t="s">
        <v>50</v>
      </c>
      <c r="N102" s="158" t="s">
        <v>88</v>
      </c>
      <c r="O102" s="5">
        <v>100</v>
      </c>
      <c r="P102" s="24">
        <v>0</v>
      </c>
      <c r="R102" s="10"/>
      <c r="S102" s="5"/>
    </row>
    <row r="103" spans="1:19" ht="14.25" customHeight="1">
      <c r="A103" s="17" t="s">
        <v>94</v>
      </c>
      <c r="B103" s="17" t="s">
        <v>89</v>
      </c>
      <c r="C103" s="18" t="s">
        <v>100</v>
      </c>
      <c r="D103" s="109">
        <v>-50.439226072752582</v>
      </c>
      <c r="E103" s="109">
        <v>-21.205476000000004</v>
      </c>
      <c r="F103" s="18">
        <v>2008</v>
      </c>
      <c r="G103" s="19" t="s">
        <v>90</v>
      </c>
      <c r="H103" s="17" t="s">
        <v>188</v>
      </c>
      <c r="I103" s="17" t="s">
        <v>91</v>
      </c>
      <c r="J103" s="18" t="s">
        <v>21</v>
      </c>
      <c r="K103" s="275">
        <v>600</v>
      </c>
      <c r="L103" s="31">
        <v>18</v>
      </c>
      <c r="M103" s="111" t="s">
        <v>50</v>
      </c>
      <c r="N103" s="158" t="s">
        <v>88</v>
      </c>
      <c r="O103" s="274">
        <v>34</v>
      </c>
      <c r="P103" s="10">
        <v>13.037637822857336</v>
      </c>
      <c r="R103" s="158"/>
      <c r="S103" s="5"/>
    </row>
    <row r="104" spans="1:19" ht="14.25" customHeight="1">
      <c r="A104" s="18" t="s">
        <v>94</v>
      </c>
      <c r="B104" s="17" t="s">
        <v>89</v>
      </c>
      <c r="C104" s="27" t="s">
        <v>101</v>
      </c>
      <c r="D104" s="109">
        <v>-48.567377839455055</v>
      </c>
      <c r="E104" s="109">
        <v>-20.558455515000002</v>
      </c>
      <c r="F104" s="18">
        <v>2008</v>
      </c>
      <c r="G104" s="19" t="s">
        <v>90</v>
      </c>
      <c r="H104" s="17" t="s">
        <v>188</v>
      </c>
      <c r="I104" s="17" t="s">
        <v>91</v>
      </c>
      <c r="J104" s="18" t="s">
        <v>21</v>
      </c>
      <c r="K104" s="5">
        <v>300</v>
      </c>
      <c r="L104" s="24">
        <v>18</v>
      </c>
      <c r="M104" s="111" t="s">
        <v>50</v>
      </c>
      <c r="N104" s="158" t="s">
        <v>88</v>
      </c>
      <c r="O104" s="10">
        <v>1.8</v>
      </c>
      <c r="P104" s="10">
        <v>24.000902760799065</v>
      </c>
      <c r="R104" s="10"/>
      <c r="S104" s="5"/>
    </row>
    <row r="105" spans="1:19" ht="14.25" customHeight="1">
      <c r="A105" s="18" t="s">
        <v>94</v>
      </c>
      <c r="B105" s="17" t="s">
        <v>89</v>
      </c>
      <c r="C105" s="17" t="s">
        <v>133</v>
      </c>
      <c r="D105" s="109">
        <v>-49.083000867090362</v>
      </c>
      <c r="E105" s="109">
        <v>-22.325122500000006</v>
      </c>
      <c r="F105" s="17">
        <v>2008</v>
      </c>
      <c r="G105" s="19" t="s">
        <v>90</v>
      </c>
      <c r="H105" s="17" t="s">
        <v>188</v>
      </c>
      <c r="I105" s="17" t="s">
        <v>91</v>
      </c>
      <c r="J105" s="18" t="s">
        <v>21</v>
      </c>
      <c r="K105" s="5">
        <v>600</v>
      </c>
      <c r="L105" s="24">
        <v>18</v>
      </c>
      <c r="M105" s="111" t="s">
        <v>50</v>
      </c>
      <c r="N105" s="158" t="s">
        <v>88</v>
      </c>
      <c r="O105" s="10">
        <v>44.475000000000001</v>
      </c>
      <c r="P105" s="10">
        <v>4.8951506616242177</v>
      </c>
      <c r="R105" s="158"/>
      <c r="S105" s="5"/>
    </row>
    <row r="106" spans="1:19" ht="14.25" customHeight="1">
      <c r="A106" s="18" t="s">
        <v>94</v>
      </c>
      <c r="B106" s="17" t="s">
        <v>89</v>
      </c>
      <c r="C106" s="18" t="s">
        <v>103</v>
      </c>
      <c r="D106" s="109">
        <v>-48.441289384350434</v>
      </c>
      <c r="E106" s="109">
        <v>-22.888381500000008</v>
      </c>
      <c r="F106" s="18">
        <v>2008</v>
      </c>
      <c r="G106" s="19" t="s">
        <v>90</v>
      </c>
      <c r="H106" s="17" t="s">
        <v>188</v>
      </c>
      <c r="I106" s="17" t="s">
        <v>91</v>
      </c>
      <c r="J106" s="18" t="s">
        <v>21</v>
      </c>
      <c r="K106" s="5">
        <v>150</v>
      </c>
      <c r="L106" s="24">
        <v>18</v>
      </c>
      <c r="M106" s="111" t="s">
        <v>50</v>
      </c>
      <c r="N106" s="158" t="s">
        <v>88</v>
      </c>
      <c r="O106" s="10">
        <v>88.4</v>
      </c>
      <c r="P106" s="10">
        <v>5.3028294334251429</v>
      </c>
      <c r="R106" s="10"/>
      <c r="S106" s="5"/>
    </row>
    <row r="107" spans="1:19" ht="14.25" customHeight="1">
      <c r="A107" s="271" t="s">
        <v>94</v>
      </c>
      <c r="B107" s="17" t="s">
        <v>89</v>
      </c>
      <c r="C107" s="271" t="s">
        <v>104</v>
      </c>
      <c r="D107" s="109">
        <v>-48.441289384350434</v>
      </c>
      <c r="E107" s="109">
        <v>-22.888381500000008</v>
      </c>
      <c r="F107" s="18">
        <v>2007</v>
      </c>
      <c r="G107" s="19" t="s">
        <v>90</v>
      </c>
      <c r="H107" s="17" t="s">
        <v>188</v>
      </c>
      <c r="I107" s="17" t="s">
        <v>91</v>
      </c>
      <c r="J107" s="18" t="s">
        <v>21</v>
      </c>
      <c r="K107" s="275">
        <v>600</v>
      </c>
      <c r="L107" s="24">
        <v>18</v>
      </c>
      <c r="M107" s="111" t="s">
        <v>50</v>
      </c>
      <c r="N107" s="271" t="s">
        <v>88</v>
      </c>
      <c r="O107" s="274">
        <v>34</v>
      </c>
      <c r="P107" s="10">
        <v>13</v>
      </c>
      <c r="R107" s="10"/>
      <c r="S107" s="5"/>
    </row>
    <row r="108" spans="1:19" ht="14.25" customHeight="1">
      <c r="A108" s="18" t="s">
        <v>94</v>
      </c>
      <c r="B108" s="17" t="s">
        <v>89</v>
      </c>
      <c r="C108" s="18" t="s">
        <v>134</v>
      </c>
      <c r="D108" s="109">
        <v>-47.299749835960981</v>
      </c>
      <c r="E108" s="109">
        <v>-23.265442500000002</v>
      </c>
      <c r="F108" s="18">
        <v>2008</v>
      </c>
      <c r="G108" s="19" t="s">
        <v>90</v>
      </c>
      <c r="H108" s="17" t="s">
        <v>188</v>
      </c>
      <c r="I108" s="17" t="s">
        <v>91</v>
      </c>
      <c r="J108" s="18" t="s">
        <v>21</v>
      </c>
      <c r="K108" s="5">
        <v>600</v>
      </c>
      <c r="L108" s="24">
        <v>18</v>
      </c>
      <c r="M108" s="111" t="s">
        <v>50</v>
      </c>
      <c r="N108" s="158" t="s">
        <v>88</v>
      </c>
      <c r="O108" s="10">
        <v>62.525000000000006</v>
      </c>
      <c r="P108" s="10">
        <v>14.596203844379071</v>
      </c>
      <c r="R108" s="10"/>
      <c r="S108" s="5"/>
    </row>
    <row r="109" spans="1:19" ht="14.25" customHeight="1">
      <c r="A109" s="18" t="s">
        <v>94</v>
      </c>
      <c r="B109" s="17" t="s">
        <v>89</v>
      </c>
      <c r="C109" s="27" t="s">
        <v>95</v>
      </c>
      <c r="D109" s="109">
        <v>-46.570383182112749</v>
      </c>
      <c r="E109" s="109">
        <v>-23.567386500000001</v>
      </c>
      <c r="F109" s="17">
        <v>2008</v>
      </c>
      <c r="G109" s="19" t="s">
        <v>90</v>
      </c>
      <c r="H109" s="17" t="s">
        <v>188</v>
      </c>
      <c r="I109" s="17" t="s">
        <v>91</v>
      </c>
      <c r="J109" s="18" t="s">
        <v>21</v>
      </c>
      <c r="K109" s="5">
        <v>600</v>
      </c>
      <c r="L109" s="24">
        <v>18</v>
      </c>
      <c r="M109" s="111" t="s">
        <v>50</v>
      </c>
      <c r="N109" s="158" t="s">
        <v>88</v>
      </c>
      <c r="O109" s="10">
        <v>32.5</v>
      </c>
      <c r="P109" s="24">
        <v>13.8</v>
      </c>
      <c r="R109" s="10"/>
      <c r="S109" s="5"/>
    </row>
    <row r="110" spans="1:19" ht="14.25" customHeight="1">
      <c r="A110" s="18" t="s">
        <v>94</v>
      </c>
      <c r="B110" s="17" t="s">
        <v>89</v>
      </c>
      <c r="C110" s="18" t="s">
        <v>108</v>
      </c>
      <c r="D110" s="109">
        <v>-51.386765581912492</v>
      </c>
      <c r="E110" s="109">
        <v>-22.122743500000002</v>
      </c>
      <c r="F110" s="18">
        <v>2008</v>
      </c>
      <c r="G110" s="19" t="s">
        <v>90</v>
      </c>
      <c r="H110" s="17" t="s">
        <v>188</v>
      </c>
      <c r="I110" s="17" t="s">
        <v>91</v>
      </c>
      <c r="J110" s="18" t="s">
        <v>21</v>
      </c>
      <c r="K110" s="275">
        <v>600</v>
      </c>
      <c r="L110" s="24">
        <v>18</v>
      </c>
      <c r="M110" s="111" t="s">
        <v>50</v>
      </c>
      <c r="N110" s="158" t="s">
        <v>88</v>
      </c>
      <c r="O110" s="274">
        <v>32.65</v>
      </c>
      <c r="P110" s="10">
        <v>12.276128597132466</v>
      </c>
      <c r="R110" s="158"/>
      <c r="S110" s="158"/>
    </row>
    <row r="111" spans="1:19" ht="14.25" customHeight="1">
      <c r="A111" s="18" t="s">
        <v>94</v>
      </c>
      <c r="B111" s="17" t="s">
        <v>89</v>
      </c>
      <c r="C111" s="27" t="s">
        <v>109</v>
      </c>
      <c r="D111" s="109">
        <v>-47.805475915541528</v>
      </c>
      <c r="E111" s="109">
        <v>-21.184834500000004</v>
      </c>
      <c r="F111" s="18">
        <v>2008</v>
      </c>
      <c r="G111" s="19" t="s">
        <v>90</v>
      </c>
      <c r="H111" s="17" t="s">
        <v>188</v>
      </c>
      <c r="I111" s="17" t="s">
        <v>91</v>
      </c>
      <c r="J111" s="18" t="s">
        <v>21</v>
      </c>
      <c r="K111" s="137">
        <v>150</v>
      </c>
      <c r="L111" s="24">
        <v>18</v>
      </c>
      <c r="M111" s="111" t="s">
        <v>50</v>
      </c>
      <c r="N111" s="158" t="s">
        <v>88</v>
      </c>
      <c r="O111" s="274">
        <v>24.1</v>
      </c>
      <c r="P111" s="10">
        <v>19.42086506827129</v>
      </c>
      <c r="R111" s="10"/>
      <c r="S111" s="5"/>
    </row>
    <row r="112" spans="1:19" ht="14.25" customHeight="1">
      <c r="A112" s="18" t="s">
        <v>94</v>
      </c>
      <c r="B112" s="17" t="s">
        <v>89</v>
      </c>
      <c r="C112" s="18" t="s">
        <v>127</v>
      </c>
      <c r="D112" s="109">
        <v>-46.922092505649722</v>
      </c>
      <c r="E112" s="109">
        <v>-23.449453000000005</v>
      </c>
      <c r="F112" s="17">
        <v>2008</v>
      </c>
      <c r="G112" s="19" t="s">
        <v>90</v>
      </c>
      <c r="H112" s="17" t="s">
        <v>188</v>
      </c>
      <c r="I112" s="17" t="s">
        <v>91</v>
      </c>
      <c r="J112" s="18" t="s">
        <v>21</v>
      </c>
      <c r="K112" s="5">
        <v>600</v>
      </c>
      <c r="L112" s="24">
        <v>18</v>
      </c>
      <c r="M112" s="111" t="s">
        <v>50</v>
      </c>
      <c r="N112" s="158" t="s">
        <v>88</v>
      </c>
      <c r="O112" s="10">
        <v>18.5</v>
      </c>
      <c r="P112" s="10">
        <v>4.9382858024487302</v>
      </c>
      <c r="R112" s="10"/>
      <c r="S112" s="5"/>
    </row>
    <row r="113" spans="1:19" ht="14.25" customHeight="1">
      <c r="A113" s="18" t="s">
        <v>94</v>
      </c>
      <c r="B113" s="17" t="s">
        <v>89</v>
      </c>
      <c r="C113" s="27" t="s">
        <v>110</v>
      </c>
      <c r="D113" s="109">
        <v>-46.331370849190684</v>
      </c>
      <c r="E113" s="109">
        <v>-23.933737500000003</v>
      </c>
      <c r="F113" s="18">
        <v>2008</v>
      </c>
      <c r="G113" s="19" t="s">
        <v>90</v>
      </c>
      <c r="H113" s="17" t="s">
        <v>188</v>
      </c>
      <c r="I113" s="17" t="s">
        <v>91</v>
      </c>
      <c r="J113" s="18" t="s">
        <v>21</v>
      </c>
      <c r="K113" s="5">
        <v>600</v>
      </c>
      <c r="L113" s="24">
        <v>18</v>
      </c>
      <c r="M113" s="111" t="s">
        <v>50</v>
      </c>
      <c r="N113" s="158" t="s">
        <v>88</v>
      </c>
      <c r="O113" s="10">
        <v>5.45</v>
      </c>
      <c r="P113" s="10">
        <v>3.8249182997810549</v>
      </c>
      <c r="R113" s="10"/>
      <c r="S113" s="5"/>
    </row>
    <row r="114" spans="1:19" ht="14.25" customHeight="1">
      <c r="A114" s="18" t="s">
        <v>94</v>
      </c>
      <c r="B114" s="17" t="s">
        <v>89</v>
      </c>
      <c r="C114" s="158" t="s">
        <v>111</v>
      </c>
      <c r="D114" s="109">
        <v>-47.889237684691636</v>
      </c>
      <c r="E114" s="109">
        <v>-22.015998500000002</v>
      </c>
      <c r="F114" s="18">
        <v>2008</v>
      </c>
      <c r="G114" s="19" t="s">
        <v>90</v>
      </c>
      <c r="H114" s="17" t="s">
        <v>188</v>
      </c>
      <c r="I114" s="17" t="s">
        <v>91</v>
      </c>
      <c r="J114" s="18" t="s">
        <v>21</v>
      </c>
      <c r="K114" s="5">
        <v>600</v>
      </c>
      <c r="L114" s="24">
        <v>18</v>
      </c>
      <c r="M114" s="111" t="s">
        <v>50</v>
      </c>
      <c r="N114" s="158" t="s">
        <v>88</v>
      </c>
      <c r="O114" s="10">
        <v>57.674999999999997</v>
      </c>
      <c r="P114" s="10">
        <v>15.095998366012999</v>
      </c>
      <c r="R114" s="10"/>
      <c r="S114" s="5"/>
    </row>
    <row r="115" spans="1:19" ht="14.25" customHeight="1">
      <c r="A115" s="18" t="s">
        <v>94</v>
      </c>
      <c r="B115" s="17" t="s">
        <v>89</v>
      </c>
      <c r="C115" s="158" t="s">
        <v>131</v>
      </c>
      <c r="D115" s="109">
        <v>-49.381347685025794</v>
      </c>
      <c r="E115" s="109">
        <v>-20.812636500000004</v>
      </c>
      <c r="F115" s="17">
        <v>2008</v>
      </c>
      <c r="G115" s="19" t="s">
        <v>90</v>
      </c>
      <c r="H115" s="17" t="s">
        <v>188</v>
      </c>
      <c r="I115" s="17" t="s">
        <v>91</v>
      </c>
      <c r="J115" s="18" t="s">
        <v>21</v>
      </c>
      <c r="K115" s="5">
        <v>600</v>
      </c>
      <c r="L115" s="24">
        <v>18</v>
      </c>
      <c r="M115" s="111" t="s">
        <v>50</v>
      </c>
      <c r="N115" s="158" t="s">
        <v>88</v>
      </c>
      <c r="O115" s="10">
        <v>13.225000000000001</v>
      </c>
      <c r="P115" s="10">
        <v>11.943582656249614</v>
      </c>
      <c r="R115" s="10"/>
      <c r="S115" s="5"/>
    </row>
    <row r="116" spans="1:19" ht="14.25" customHeight="1">
      <c r="A116" s="18" t="s">
        <v>94</v>
      </c>
      <c r="B116" s="17" t="s">
        <v>89</v>
      </c>
      <c r="C116" s="158" t="s">
        <v>113</v>
      </c>
      <c r="D116" s="109">
        <v>-45.402680140543957</v>
      </c>
      <c r="E116" s="109">
        <v>-23.806687652148753</v>
      </c>
      <c r="F116" s="18">
        <v>2008</v>
      </c>
      <c r="G116" s="19" t="s">
        <v>90</v>
      </c>
      <c r="H116" s="17" t="s">
        <v>188</v>
      </c>
      <c r="I116" s="17" t="s">
        <v>91</v>
      </c>
      <c r="J116" s="18" t="s">
        <v>21</v>
      </c>
      <c r="K116" s="5">
        <v>600</v>
      </c>
      <c r="L116" s="28">
        <v>18</v>
      </c>
      <c r="M116" s="111" t="s">
        <v>50</v>
      </c>
      <c r="N116" s="158" t="s">
        <v>88</v>
      </c>
      <c r="O116" s="10">
        <v>2.6749999999999998</v>
      </c>
      <c r="P116" s="10">
        <v>2.0694202086574882</v>
      </c>
      <c r="R116" s="10"/>
      <c r="S116" s="5"/>
    </row>
    <row r="117" spans="1:19" ht="14.25" customHeight="1">
      <c r="A117" s="17" t="s">
        <v>94</v>
      </c>
      <c r="B117" s="17" t="s">
        <v>89</v>
      </c>
      <c r="C117" s="158" t="s">
        <v>146</v>
      </c>
      <c r="D117" s="109">
        <v>-54.58710248860465</v>
      </c>
      <c r="E117" s="109">
        <v>-25.542493279529253</v>
      </c>
      <c r="F117" s="18">
        <v>2008</v>
      </c>
      <c r="G117" s="19" t="s">
        <v>90</v>
      </c>
      <c r="H117" s="17" t="s">
        <v>188</v>
      </c>
      <c r="I117" s="17" t="s">
        <v>91</v>
      </c>
      <c r="J117" s="18" t="s">
        <v>21</v>
      </c>
      <c r="K117" s="5">
        <v>600</v>
      </c>
      <c r="L117" s="28">
        <v>18</v>
      </c>
      <c r="M117" s="111" t="s">
        <v>50</v>
      </c>
      <c r="N117" s="158" t="s">
        <v>88</v>
      </c>
      <c r="O117" s="10">
        <v>53.125</v>
      </c>
      <c r="P117" s="31">
        <v>20.5</v>
      </c>
      <c r="R117" s="10"/>
      <c r="S117" s="5"/>
    </row>
    <row r="118" spans="1:19" ht="14.25" customHeight="1">
      <c r="A118" s="17" t="s">
        <v>94</v>
      </c>
      <c r="B118" s="17" t="s">
        <v>89</v>
      </c>
      <c r="C118" s="158" t="s">
        <v>147</v>
      </c>
      <c r="D118" s="109">
        <v>-51.939881870252066</v>
      </c>
      <c r="E118" s="109">
        <v>-23.422280000000004</v>
      </c>
      <c r="F118" s="18">
        <v>2008</v>
      </c>
      <c r="G118" s="19" t="s">
        <v>90</v>
      </c>
      <c r="H118" s="17" t="s">
        <v>188</v>
      </c>
      <c r="I118" s="17" t="s">
        <v>91</v>
      </c>
      <c r="J118" s="18" t="s">
        <v>21</v>
      </c>
      <c r="K118" s="5">
        <v>450</v>
      </c>
      <c r="L118" s="28">
        <v>18</v>
      </c>
      <c r="M118" s="111" t="s">
        <v>50</v>
      </c>
      <c r="N118" s="158" t="s">
        <v>88</v>
      </c>
      <c r="O118" s="10">
        <v>27.533333333333331</v>
      </c>
      <c r="P118" s="31">
        <v>30.2</v>
      </c>
      <c r="R118" s="10"/>
      <c r="S118" s="5"/>
    </row>
    <row r="119" spans="1:19" ht="14.25" customHeight="1">
      <c r="A119" s="17" t="s">
        <v>94</v>
      </c>
      <c r="B119" s="17" t="s">
        <v>89</v>
      </c>
      <c r="C119" s="158" t="s">
        <v>150</v>
      </c>
      <c r="D119" s="109">
        <v>-45.004168437028525</v>
      </c>
      <c r="E119" s="109">
        <v>-12.144924888390602</v>
      </c>
      <c r="F119" s="18">
        <v>2008</v>
      </c>
      <c r="G119" s="19" t="s">
        <v>90</v>
      </c>
      <c r="H119" s="17" t="s">
        <v>188</v>
      </c>
      <c r="I119" s="17" t="s">
        <v>91</v>
      </c>
      <c r="J119" s="18" t="s">
        <v>21</v>
      </c>
      <c r="K119" s="5">
        <v>600</v>
      </c>
      <c r="L119" s="28">
        <v>18</v>
      </c>
      <c r="M119" s="111" t="s">
        <v>50</v>
      </c>
      <c r="N119" s="158" t="s">
        <v>88</v>
      </c>
      <c r="O119" s="10">
        <v>91.875</v>
      </c>
      <c r="P119" s="31">
        <v>7.4</v>
      </c>
      <c r="R119" s="10"/>
      <c r="S119" s="5"/>
    </row>
    <row r="120" spans="1:19" ht="14.25" customHeight="1">
      <c r="A120" s="17" t="s">
        <v>94</v>
      </c>
      <c r="B120" s="17" t="s">
        <v>89</v>
      </c>
      <c r="C120" s="17" t="s">
        <v>149</v>
      </c>
      <c r="D120" s="109">
        <v>-40.513017627870106</v>
      </c>
      <c r="E120" s="109">
        <v>-11.185062160141854</v>
      </c>
      <c r="F120" s="18">
        <v>2008</v>
      </c>
      <c r="G120" s="19" t="s">
        <v>90</v>
      </c>
      <c r="H120" s="17" t="s">
        <v>188</v>
      </c>
      <c r="I120" s="17" t="s">
        <v>91</v>
      </c>
      <c r="J120" s="18" t="s">
        <v>21</v>
      </c>
      <c r="K120" s="5">
        <v>450</v>
      </c>
      <c r="L120" s="28">
        <v>18</v>
      </c>
      <c r="M120" s="111" t="s">
        <v>50</v>
      </c>
      <c r="N120" s="158" t="s">
        <v>88</v>
      </c>
      <c r="O120" s="10">
        <v>52.699999999999996</v>
      </c>
      <c r="P120" s="31">
        <v>12.2</v>
      </c>
      <c r="R120" s="158"/>
      <c r="S120" s="5"/>
    </row>
    <row r="121" spans="1:19" ht="14.25" customHeight="1">
      <c r="A121" s="17" t="s">
        <v>94</v>
      </c>
      <c r="B121" s="17" t="s">
        <v>89</v>
      </c>
      <c r="C121" s="17" t="s">
        <v>148</v>
      </c>
      <c r="D121" s="109">
        <v>-45.004168437028525</v>
      </c>
      <c r="E121" s="109">
        <v>-12.144924888390602</v>
      </c>
      <c r="F121" s="18">
        <v>2008</v>
      </c>
      <c r="G121" s="19" t="s">
        <v>90</v>
      </c>
      <c r="H121" s="17" t="s">
        <v>188</v>
      </c>
      <c r="I121" s="17" t="s">
        <v>91</v>
      </c>
      <c r="J121" s="18" t="s">
        <v>21</v>
      </c>
      <c r="K121" s="5">
        <v>600</v>
      </c>
      <c r="L121" s="28">
        <v>18</v>
      </c>
      <c r="M121" s="111" t="s">
        <v>50</v>
      </c>
      <c r="N121" s="158" t="s">
        <v>88</v>
      </c>
      <c r="O121" s="10">
        <v>67.3</v>
      </c>
      <c r="P121" s="31">
        <v>15.6</v>
      </c>
      <c r="R121" s="10"/>
      <c r="S121" s="5"/>
    </row>
    <row r="122" spans="1:19" ht="14.25" customHeight="1" thickBot="1">
      <c r="A122" s="21" t="s">
        <v>94</v>
      </c>
      <c r="B122" s="21" t="s">
        <v>89</v>
      </c>
      <c r="C122" s="21" t="s">
        <v>135</v>
      </c>
      <c r="D122" s="110">
        <v>-48.037211274124623</v>
      </c>
      <c r="E122" s="110">
        <v>-16.056078214198152</v>
      </c>
      <c r="F122" s="21">
        <v>2008</v>
      </c>
      <c r="G122" s="22" t="s">
        <v>90</v>
      </c>
      <c r="H122" s="21" t="s">
        <v>188</v>
      </c>
      <c r="I122" s="21" t="s">
        <v>91</v>
      </c>
      <c r="J122" s="21" t="s">
        <v>21</v>
      </c>
      <c r="K122" s="6">
        <v>300</v>
      </c>
      <c r="L122" s="25">
        <v>18</v>
      </c>
      <c r="M122" s="111" t="s">
        <v>50</v>
      </c>
      <c r="N122" s="11" t="s">
        <v>88</v>
      </c>
      <c r="O122" s="30">
        <v>40.9</v>
      </c>
      <c r="P122" s="30">
        <v>9.4</v>
      </c>
      <c r="R122" s="158"/>
      <c r="S122" s="5"/>
    </row>
    <row r="123" spans="1:19" ht="14.25" customHeight="1">
      <c r="A123" s="17" t="s">
        <v>94</v>
      </c>
      <c r="B123" s="17" t="s">
        <v>89</v>
      </c>
      <c r="C123" s="20" t="s">
        <v>124</v>
      </c>
      <c r="D123" s="261"/>
      <c r="E123" s="121"/>
      <c r="F123" s="17">
        <v>2008</v>
      </c>
      <c r="G123" s="19" t="s">
        <v>90</v>
      </c>
      <c r="H123" s="17" t="s">
        <v>188</v>
      </c>
      <c r="I123" s="17" t="s">
        <v>43</v>
      </c>
      <c r="J123" s="18" t="s">
        <v>21</v>
      </c>
      <c r="K123" s="18">
        <v>222</v>
      </c>
      <c r="L123" s="31">
        <v>5</v>
      </c>
      <c r="M123" s="34" t="s">
        <v>11</v>
      </c>
      <c r="N123" s="34" t="s">
        <v>38</v>
      </c>
      <c r="O123" s="5">
        <v>100</v>
      </c>
      <c r="R123" s="17"/>
      <c r="S123" s="17"/>
    </row>
    <row r="124" spans="1:19" ht="14.25" customHeight="1">
      <c r="A124" s="17" t="s">
        <v>94</v>
      </c>
      <c r="B124" s="17" t="s">
        <v>89</v>
      </c>
      <c r="C124" s="18" t="s">
        <v>100</v>
      </c>
      <c r="D124" s="109">
        <v>-50.439226072752582</v>
      </c>
      <c r="E124" s="109">
        <v>-21.205476000000004</v>
      </c>
      <c r="F124" s="17">
        <v>2008</v>
      </c>
      <c r="G124" s="19" t="s">
        <v>90</v>
      </c>
      <c r="H124" s="17" t="s">
        <v>188</v>
      </c>
      <c r="I124" s="17" t="s">
        <v>43</v>
      </c>
      <c r="J124" s="18" t="s">
        <v>21</v>
      </c>
      <c r="K124" s="1">
        <v>232</v>
      </c>
      <c r="L124" s="31">
        <v>5</v>
      </c>
      <c r="M124" s="158" t="s">
        <v>11</v>
      </c>
      <c r="N124" s="158" t="s">
        <v>38</v>
      </c>
      <c r="O124" s="10">
        <v>87.8</v>
      </c>
      <c r="R124" s="158"/>
      <c r="S124" s="158"/>
    </row>
    <row r="125" spans="1:19" ht="14.25" customHeight="1">
      <c r="A125" s="18" t="s">
        <v>94</v>
      </c>
      <c r="B125" s="17" t="s">
        <v>89</v>
      </c>
      <c r="C125" s="79" t="s">
        <v>101</v>
      </c>
      <c r="D125" s="109">
        <v>-48.567377839455055</v>
      </c>
      <c r="E125" s="109">
        <v>-20.558455515000002</v>
      </c>
      <c r="F125" s="17">
        <v>2008</v>
      </c>
      <c r="G125" s="19" t="s">
        <v>90</v>
      </c>
      <c r="H125" s="17" t="s">
        <v>188</v>
      </c>
      <c r="I125" s="17" t="s">
        <v>43</v>
      </c>
      <c r="J125" s="18" t="s">
        <v>21</v>
      </c>
      <c r="K125" s="1">
        <v>239</v>
      </c>
      <c r="L125" s="31">
        <v>5</v>
      </c>
      <c r="M125" s="158" t="s">
        <v>11</v>
      </c>
      <c r="N125" s="158" t="s">
        <v>38</v>
      </c>
      <c r="O125" s="10">
        <v>87.3</v>
      </c>
      <c r="R125" s="158"/>
      <c r="S125" s="158"/>
    </row>
    <row r="126" spans="1:19" ht="14.25" customHeight="1">
      <c r="A126" s="18" t="s">
        <v>94</v>
      </c>
      <c r="B126" s="17" t="s">
        <v>89</v>
      </c>
      <c r="C126" s="17" t="s">
        <v>133</v>
      </c>
      <c r="D126" s="109">
        <v>-49.083000867090362</v>
      </c>
      <c r="E126" s="109">
        <v>-22.325122500000006</v>
      </c>
      <c r="F126" s="17">
        <v>2008</v>
      </c>
      <c r="G126" s="19" t="s">
        <v>90</v>
      </c>
      <c r="H126" s="17" t="s">
        <v>188</v>
      </c>
      <c r="I126" s="17" t="s">
        <v>43</v>
      </c>
      <c r="J126" s="18" t="s">
        <v>21</v>
      </c>
      <c r="K126" s="79">
        <v>237</v>
      </c>
      <c r="L126" s="31">
        <v>5</v>
      </c>
      <c r="M126" s="158" t="s">
        <v>11</v>
      </c>
      <c r="N126" s="158" t="s">
        <v>38</v>
      </c>
      <c r="O126" s="10">
        <v>93.3</v>
      </c>
    </row>
    <row r="127" spans="1:19" ht="14.25" customHeight="1">
      <c r="A127" s="18" t="s">
        <v>94</v>
      </c>
      <c r="B127" s="17" t="s">
        <v>89</v>
      </c>
      <c r="C127" s="79" t="s">
        <v>103</v>
      </c>
      <c r="D127" s="109">
        <v>-48.441289384350434</v>
      </c>
      <c r="E127" s="109">
        <v>-22.888381500000008</v>
      </c>
      <c r="F127" s="17">
        <v>2008</v>
      </c>
      <c r="G127" s="19" t="s">
        <v>90</v>
      </c>
      <c r="H127" s="17" t="s">
        <v>188</v>
      </c>
      <c r="I127" s="17" t="s">
        <v>43</v>
      </c>
      <c r="J127" s="18" t="s">
        <v>21</v>
      </c>
      <c r="K127" s="1">
        <v>246</v>
      </c>
      <c r="L127" s="31">
        <v>5</v>
      </c>
      <c r="M127" s="158" t="s">
        <v>11</v>
      </c>
      <c r="N127" s="158" t="s">
        <v>38</v>
      </c>
      <c r="O127" s="10">
        <v>90.3</v>
      </c>
    </row>
    <row r="128" spans="1:19" ht="14.25" customHeight="1">
      <c r="A128" s="18" t="s">
        <v>94</v>
      </c>
      <c r="B128" s="17" t="s">
        <v>89</v>
      </c>
      <c r="C128" s="79" t="s">
        <v>134</v>
      </c>
      <c r="D128" s="109">
        <v>-47.299749835960981</v>
      </c>
      <c r="E128" s="109">
        <v>-23.265442500000002</v>
      </c>
      <c r="F128" s="17">
        <v>2008</v>
      </c>
      <c r="G128" s="19" t="s">
        <v>90</v>
      </c>
      <c r="H128" s="17" t="s">
        <v>188</v>
      </c>
      <c r="I128" s="17" t="s">
        <v>43</v>
      </c>
      <c r="J128" s="18" t="s">
        <v>21</v>
      </c>
      <c r="K128" s="1">
        <v>244</v>
      </c>
      <c r="L128" s="31">
        <v>5</v>
      </c>
      <c r="M128" s="158" t="s">
        <v>11</v>
      </c>
      <c r="N128" s="158" t="s">
        <v>38</v>
      </c>
      <c r="O128" s="158">
        <v>87.4</v>
      </c>
    </row>
    <row r="129" spans="1:22" ht="14.25" customHeight="1">
      <c r="A129" s="18" t="s">
        <v>94</v>
      </c>
      <c r="B129" s="17" t="s">
        <v>89</v>
      </c>
      <c r="C129" s="79" t="s">
        <v>95</v>
      </c>
      <c r="D129" s="109">
        <v>-46.570383182112749</v>
      </c>
      <c r="E129" s="109">
        <v>-23.567386500000001</v>
      </c>
      <c r="F129" s="17">
        <v>2008</v>
      </c>
      <c r="G129" s="19" t="s">
        <v>90</v>
      </c>
      <c r="H129" s="17" t="s">
        <v>188</v>
      </c>
      <c r="I129" s="17" t="s">
        <v>43</v>
      </c>
      <c r="J129" s="18" t="s">
        <v>21</v>
      </c>
      <c r="K129" s="1">
        <v>299</v>
      </c>
      <c r="L129" s="31">
        <v>5</v>
      </c>
      <c r="M129" s="158" t="s">
        <v>11</v>
      </c>
      <c r="N129" s="158" t="s">
        <v>38</v>
      </c>
      <c r="O129" s="10">
        <v>85.9</v>
      </c>
    </row>
    <row r="130" spans="1:22" ht="14.25" customHeight="1">
      <c r="A130" s="18" t="s">
        <v>94</v>
      </c>
      <c r="B130" s="17" t="s">
        <v>89</v>
      </c>
      <c r="C130" s="79" t="s">
        <v>108</v>
      </c>
      <c r="D130" s="109">
        <v>-51.386765581912492</v>
      </c>
      <c r="E130" s="109">
        <v>-22.122743500000002</v>
      </c>
      <c r="F130" s="17">
        <v>2008</v>
      </c>
      <c r="G130" s="19" t="s">
        <v>90</v>
      </c>
      <c r="H130" s="17" t="s">
        <v>188</v>
      </c>
      <c r="I130" s="17" t="s">
        <v>43</v>
      </c>
      <c r="J130" s="18" t="s">
        <v>21</v>
      </c>
      <c r="K130" s="1">
        <v>323</v>
      </c>
      <c r="L130" s="31">
        <v>5</v>
      </c>
      <c r="M130" s="158" t="s">
        <v>11</v>
      </c>
      <c r="N130" s="158" t="s">
        <v>38</v>
      </c>
      <c r="O130" s="10">
        <v>76.5</v>
      </c>
    </row>
    <row r="131" spans="1:22" ht="14.25" customHeight="1">
      <c r="A131" s="18" t="s">
        <v>94</v>
      </c>
      <c r="B131" s="17" t="s">
        <v>89</v>
      </c>
      <c r="C131" s="79" t="s">
        <v>109</v>
      </c>
      <c r="D131" s="109">
        <v>-47.805475915541528</v>
      </c>
      <c r="E131" s="109">
        <v>-21.184834500000004</v>
      </c>
      <c r="F131" s="17">
        <v>2008</v>
      </c>
      <c r="G131" s="19" t="s">
        <v>90</v>
      </c>
      <c r="H131" s="17" t="s">
        <v>188</v>
      </c>
      <c r="I131" s="17" t="s">
        <v>43</v>
      </c>
      <c r="J131" s="18" t="s">
        <v>21</v>
      </c>
      <c r="K131" s="79">
        <v>283</v>
      </c>
      <c r="L131" s="31">
        <v>5</v>
      </c>
      <c r="M131" s="158" t="s">
        <v>11</v>
      </c>
      <c r="N131" s="158" t="s">
        <v>38</v>
      </c>
      <c r="O131" s="10">
        <v>82</v>
      </c>
    </row>
    <row r="132" spans="1:22" ht="14.25" customHeight="1">
      <c r="A132" s="18" t="s">
        <v>94</v>
      </c>
      <c r="B132" s="17" t="s">
        <v>89</v>
      </c>
      <c r="C132" s="79" t="s">
        <v>127</v>
      </c>
      <c r="D132" s="109">
        <v>-46.922092505649722</v>
      </c>
      <c r="E132" s="109">
        <v>-23.449453000000005</v>
      </c>
      <c r="F132" s="17">
        <v>2008</v>
      </c>
      <c r="G132" s="19" t="s">
        <v>90</v>
      </c>
      <c r="H132" s="17" t="s">
        <v>188</v>
      </c>
      <c r="I132" s="17" t="s">
        <v>43</v>
      </c>
      <c r="J132" s="18" t="s">
        <v>21</v>
      </c>
      <c r="K132" s="1">
        <v>294</v>
      </c>
      <c r="L132" s="31">
        <v>5</v>
      </c>
      <c r="M132" s="158" t="s">
        <v>11</v>
      </c>
      <c r="N132" s="158" t="s">
        <v>38</v>
      </c>
      <c r="O132" s="10">
        <v>86.2</v>
      </c>
    </row>
    <row r="133" spans="1:22" ht="14.25" customHeight="1">
      <c r="A133" s="18" t="s">
        <v>94</v>
      </c>
      <c r="B133" s="17" t="s">
        <v>89</v>
      </c>
      <c r="C133" s="79" t="s">
        <v>110</v>
      </c>
      <c r="D133" s="109">
        <v>-46.331370849190684</v>
      </c>
      <c r="E133" s="109">
        <v>-23.933737500000003</v>
      </c>
      <c r="F133" s="17">
        <v>2008</v>
      </c>
      <c r="G133" s="19" t="s">
        <v>90</v>
      </c>
      <c r="H133" s="17" t="s">
        <v>188</v>
      </c>
      <c r="I133" s="17" t="s">
        <v>43</v>
      </c>
      <c r="J133" s="18" t="s">
        <v>21</v>
      </c>
      <c r="K133" s="1">
        <v>300</v>
      </c>
      <c r="L133" s="31">
        <v>5</v>
      </c>
      <c r="M133" s="158" t="s">
        <v>11</v>
      </c>
      <c r="N133" s="158" t="s">
        <v>38</v>
      </c>
      <c r="O133" s="18">
        <v>87.9</v>
      </c>
    </row>
    <row r="134" spans="1:22" ht="14.25" customHeight="1">
      <c r="A134" s="18" t="s">
        <v>94</v>
      </c>
      <c r="B134" s="17" t="s">
        <v>89</v>
      </c>
      <c r="C134" s="79" t="s">
        <v>111</v>
      </c>
      <c r="D134" s="109">
        <v>-47.889237684691636</v>
      </c>
      <c r="E134" s="109">
        <v>-22.015998500000002</v>
      </c>
      <c r="F134" s="17">
        <v>2008</v>
      </c>
      <c r="G134" s="19" t="s">
        <v>90</v>
      </c>
      <c r="H134" s="17" t="s">
        <v>188</v>
      </c>
      <c r="I134" s="17" t="s">
        <v>43</v>
      </c>
      <c r="J134" s="18" t="s">
        <v>21</v>
      </c>
      <c r="K134" s="1">
        <v>296</v>
      </c>
      <c r="L134" s="31">
        <v>5</v>
      </c>
      <c r="M134" s="158" t="s">
        <v>11</v>
      </c>
      <c r="N134" s="158" t="s">
        <v>38</v>
      </c>
      <c r="O134" s="18">
        <v>89.7</v>
      </c>
    </row>
    <row r="135" spans="1:22" ht="14.25" customHeight="1">
      <c r="A135" s="18" t="s">
        <v>94</v>
      </c>
      <c r="B135" s="17" t="s">
        <v>89</v>
      </c>
      <c r="C135" s="79" t="s">
        <v>113</v>
      </c>
      <c r="D135" s="109">
        <v>-45.402680140543957</v>
      </c>
      <c r="E135" s="109">
        <v>-23.806687652148753</v>
      </c>
      <c r="F135" s="17">
        <v>2008</v>
      </c>
      <c r="G135" s="19" t="s">
        <v>90</v>
      </c>
      <c r="H135" s="17" t="s">
        <v>188</v>
      </c>
      <c r="I135" s="17" t="s">
        <v>43</v>
      </c>
      <c r="J135" s="18" t="s">
        <v>21</v>
      </c>
      <c r="K135" s="1">
        <v>287</v>
      </c>
      <c r="L135" s="31">
        <v>5</v>
      </c>
      <c r="M135" s="158" t="s">
        <v>11</v>
      </c>
      <c r="N135" s="158" t="s">
        <v>38</v>
      </c>
      <c r="O135" s="18">
        <v>78.900000000000006</v>
      </c>
    </row>
    <row r="136" spans="1:22" ht="14.25" customHeight="1">
      <c r="A136" s="18" t="s">
        <v>94</v>
      </c>
      <c r="B136" s="17" t="s">
        <v>89</v>
      </c>
      <c r="C136" s="158" t="s">
        <v>131</v>
      </c>
      <c r="D136" s="109">
        <v>-36.551091902005247</v>
      </c>
      <c r="E136" s="109">
        <v>-9.9316573889236714</v>
      </c>
      <c r="F136" s="17">
        <v>2008</v>
      </c>
      <c r="G136" s="19" t="s">
        <v>90</v>
      </c>
      <c r="H136" s="17" t="s">
        <v>188</v>
      </c>
      <c r="I136" s="17" t="s">
        <v>43</v>
      </c>
      <c r="J136" s="18" t="s">
        <v>21</v>
      </c>
      <c r="K136" s="1">
        <v>225</v>
      </c>
      <c r="L136" s="31">
        <v>5</v>
      </c>
      <c r="M136" s="158" t="s">
        <v>11</v>
      </c>
      <c r="N136" s="158" t="s">
        <v>38</v>
      </c>
      <c r="O136" s="18">
        <v>88.7</v>
      </c>
    </row>
    <row r="137" spans="1:22" ht="14.25" customHeight="1">
      <c r="A137" s="17" t="s">
        <v>94</v>
      </c>
      <c r="B137" s="17" t="s">
        <v>89</v>
      </c>
      <c r="C137" s="17" t="s">
        <v>148</v>
      </c>
      <c r="D137" s="109">
        <v>-45.004168437028525</v>
      </c>
      <c r="E137" s="109">
        <v>-12.144924888390602</v>
      </c>
      <c r="F137" s="17">
        <v>2008</v>
      </c>
      <c r="G137" s="19" t="s">
        <v>90</v>
      </c>
      <c r="H137" s="17" t="s">
        <v>188</v>
      </c>
      <c r="I137" s="17" t="s">
        <v>43</v>
      </c>
      <c r="J137" s="18" t="s">
        <v>21</v>
      </c>
      <c r="K137" s="158">
        <v>228</v>
      </c>
      <c r="L137" s="31">
        <v>5</v>
      </c>
      <c r="M137" s="158" t="s">
        <v>11</v>
      </c>
      <c r="N137" s="158" t="s">
        <v>38</v>
      </c>
      <c r="O137" s="18">
        <v>100</v>
      </c>
    </row>
    <row r="138" spans="1:22" ht="14.25" customHeight="1">
      <c r="A138" s="17" t="s">
        <v>94</v>
      </c>
      <c r="B138" s="17" t="s">
        <v>89</v>
      </c>
      <c r="C138" s="17" t="s">
        <v>149</v>
      </c>
      <c r="D138" s="109">
        <v>-51.939881870252066</v>
      </c>
      <c r="E138" s="109">
        <v>-23.422280000000004</v>
      </c>
      <c r="F138" s="17">
        <v>2008</v>
      </c>
      <c r="G138" s="19" t="s">
        <v>90</v>
      </c>
      <c r="H138" s="17" t="s">
        <v>188</v>
      </c>
      <c r="I138" s="17" t="s">
        <v>43</v>
      </c>
      <c r="J138" s="18" t="s">
        <v>21</v>
      </c>
      <c r="K138" s="158">
        <v>240</v>
      </c>
      <c r="L138" s="31">
        <v>5</v>
      </c>
      <c r="M138" s="158" t="s">
        <v>11</v>
      </c>
      <c r="N138" s="158" t="s">
        <v>38</v>
      </c>
      <c r="O138" s="18">
        <v>96.3</v>
      </c>
    </row>
    <row r="139" spans="1:22" ht="14.25" customHeight="1">
      <c r="A139" s="17" t="s">
        <v>94</v>
      </c>
      <c r="B139" s="17" t="s">
        <v>89</v>
      </c>
      <c r="C139" s="79" t="s">
        <v>150</v>
      </c>
      <c r="D139" s="109">
        <v>-45.004168437028525</v>
      </c>
      <c r="E139" s="109">
        <v>-12.144924888390602</v>
      </c>
      <c r="F139" s="17">
        <v>2008</v>
      </c>
      <c r="G139" s="19" t="s">
        <v>90</v>
      </c>
      <c r="H139" s="17" t="s">
        <v>188</v>
      </c>
      <c r="I139" s="17" t="s">
        <v>43</v>
      </c>
      <c r="J139" s="18" t="s">
        <v>21</v>
      </c>
      <c r="K139" s="158">
        <v>302</v>
      </c>
      <c r="L139" s="31">
        <v>5</v>
      </c>
      <c r="M139" s="158" t="s">
        <v>11</v>
      </c>
      <c r="N139" s="158" t="s">
        <v>38</v>
      </c>
      <c r="O139" s="18">
        <v>96.6</v>
      </c>
    </row>
    <row r="140" spans="1:22" ht="14.25" customHeight="1">
      <c r="A140" s="17" t="s">
        <v>94</v>
      </c>
      <c r="B140" s="17" t="s">
        <v>89</v>
      </c>
      <c r="C140" s="17" t="s">
        <v>135</v>
      </c>
      <c r="D140" s="109">
        <v>-40.513017627870106</v>
      </c>
      <c r="E140" s="109">
        <v>-11.185062160141854</v>
      </c>
      <c r="F140" s="17">
        <v>2008</v>
      </c>
      <c r="G140" s="19" t="s">
        <v>90</v>
      </c>
      <c r="H140" s="17" t="s">
        <v>188</v>
      </c>
      <c r="I140" s="17" t="s">
        <v>43</v>
      </c>
      <c r="J140" s="18" t="s">
        <v>21</v>
      </c>
      <c r="K140" s="158">
        <v>239</v>
      </c>
      <c r="L140" s="31">
        <v>5</v>
      </c>
      <c r="M140" s="158" t="s">
        <v>11</v>
      </c>
      <c r="N140" s="158" t="s">
        <v>38</v>
      </c>
      <c r="O140" s="18">
        <v>85.6</v>
      </c>
    </row>
    <row r="141" spans="1:22" ht="14.25" customHeight="1">
      <c r="A141" s="17" t="s">
        <v>94</v>
      </c>
      <c r="B141" s="17" t="s">
        <v>89</v>
      </c>
      <c r="C141" s="158" t="s">
        <v>146</v>
      </c>
      <c r="D141" s="109">
        <v>-54.58710248860465</v>
      </c>
      <c r="E141" s="109">
        <v>-25.542493279529253</v>
      </c>
      <c r="F141" s="17">
        <v>2008</v>
      </c>
      <c r="G141" s="19" t="s">
        <v>90</v>
      </c>
      <c r="H141" s="17" t="s">
        <v>188</v>
      </c>
      <c r="I141" s="17" t="s">
        <v>43</v>
      </c>
      <c r="J141" s="18" t="s">
        <v>21</v>
      </c>
      <c r="K141" s="158">
        <v>225</v>
      </c>
      <c r="L141" s="31">
        <v>5</v>
      </c>
      <c r="M141" s="158" t="s">
        <v>11</v>
      </c>
      <c r="N141" s="158" t="s">
        <v>38</v>
      </c>
      <c r="O141" s="18">
        <v>82.8</v>
      </c>
    </row>
    <row r="142" spans="1:22" ht="14.25" customHeight="1" thickBot="1">
      <c r="A142" s="21" t="s">
        <v>94</v>
      </c>
      <c r="B142" s="21" t="s">
        <v>89</v>
      </c>
      <c r="C142" s="11" t="s">
        <v>147</v>
      </c>
      <c r="D142" s="110">
        <v>-51.939881870252066</v>
      </c>
      <c r="E142" s="110">
        <v>-23.422280000000004</v>
      </c>
      <c r="F142" s="21">
        <v>2008</v>
      </c>
      <c r="G142" s="22" t="s">
        <v>90</v>
      </c>
      <c r="H142" s="21" t="s">
        <v>188</v>
      </c>
      <c r="I142" s="21" t="s">
        <v>43</v>
      </c>
      <c r="J142" s="21" t="s">
        <v>21</v>
      </c>
      <c r="K142" s="11">
        <v>230</v>
      </c>
      <c r="L142" s="30">
        <v>5</v>
      </c>
      <c r="M142" s="11" t="s">
        <v>11</v>
      </c>
      <c r="N142" s="11" t="s">
        <v>38</v>
      </c>
      <c r="O142" s="21">
        <v>90.4</v>
      </c>
      <c r="P142" s="17"/>
    </row>
    <row r="143" spans="1:22" ht="14.25" customHeight="1">
      <c r="P143" s="17"/>
    </row>
    <row r="144" spans="1:22" ht="14.25" customHeight="1">
      <c r="C144" s="2"/>
      <c r="D144" s="2"/>
      <c r="E144" s="2"/>
      <c r="F144" s="2"/>
      <c r="G144" s="2"/>
      <c r="H144" s="2"/>
      <c r="U144" s="158"/>
      <c r="V144" s="26"/>
    </row>
    <row r="145" spans="3:22" ht="14.25" customHeight="1">
      <c r="C145" s="2"/>
      <c r="D145" s="2"/>
      <c r="E145" s="2"/>
      <c r="F145" s="2"/>
      <c r="G145" s="2"/>
      <c r="H145" s="2"/>
      <c r="M145" s="158"/>
      <c r="V145" s="26"/>
    </row>
    <row r="146" spans="3:22" ht="14.25" customHeight="1">
      <c r="C146" s="2"/>
      <c r="D146" s="2"/>
      <c r="E146" s="2"/>
      <c r="F146" s="2"/>
      <c r="G146" s="2"/>
      <c r="H146" s="2"/>
      <c r="M146" s="158"/>
      <c r="V146" s="26"/>
    </row>
    <row r="147" spans="3:22" ht="14.25" customHeight="1">
      <c r="C147" s="2"/>
      <c r="D147" s="2"/>
      <c r="E147" s="2"/>
      <c r="F147" s="2"/>
      <c r="G147" s="2"/>
      <c r="H147" s="2"/>
      <c r="M147" s="158"/>
      <c r="V147" s="26"/>
    </row>
    <row r="148" spans="3:22" ht="14.25" customHeight="1">
      <c r="C148" s="2"/>
      <c r="D148" s="2"/>
      <c r="E148" s="2"/>
      <c r="F148" s="2"/>
      <c r="G148" s="2"/>
      <c r="H148" s="2"/>
      <c r="M148" s="158"/>
      <c r="V148" s="26"/>
    </row>
    <row r="149" spans="3:22" ht="14.25" customHeight="1">
      <c r="C149" s="2"/>
      <c r="D149" s="2"/>
      <c r="E149" s="2"/>
      <c r="F149" s="2"/>
      <c r="G149" s="2"/>
      <c r="H149" s="2"/>
      <c r="M149" s="158"/>
      <c r="V149" s="26"/>
    </row>
    <row r="150" spans="3:22" ht="14.25" customHeight="1">
      <c r="C150" s="2"/>
      <c r="D150" s="2"/>
      <c r="E150" s="2"/>
      <c r="F150" s="2"/>
      <c r="G150" s="2"/>
      <c r="H150" s="2"/>
      <c r="M150" s="158"/>
      <c r="V150" s="26"/>
    </row>
    <row r="151" spans="3:22" ht="14.25" customHeight="1">
      <c r="C151" s="2"/>
      <c r="D151" s="2"/>
      <c r="E151" s="2"/>
      <c r="F151" s="2"/>
      <c r="G151" s="2"/>
      <c r="H151" s="2"/>
      <c r="M151" s="158"/>
      <c r="V151" s="26"/>
    </row>
    <row r="152" spans="3:22" ht="14.25" customHeight="1">
      <c r="C152" s="2"/>
      <c r="D152" s="2"/>
      <c r="E152" s="2"/>
      <c r="F152" s="2"/>
      <c r="G152" s="2"/>
      <c r="H152" s="2"/>
      <c r="M152" s="158"/>
      <c r="V152" s="26"/>
    </row>
    <row r="153" spans="3:22" ht="14.25" customHeight="1">
      <c r="C153" s="2"/>
      <c r="D153" s="2"/>
      <c r="E153" s="2"/>
      <c r="F153" s="2"/>
      <c r="G153" s="2"/>
      <c r="H153" s="2"/>
      <c r="M153" s="158"/>
      <c r="V153" s="26"/>
    </row>
    <row r="154" spans="3:22" ht="14.25" customHeight="1">
      <c r="C154" s="2"/>
      <c r="D154" s="2"/>
      <c r="E154" s="2"/>
      <c r="F154" s="2"/>
      <c r="G154" s="2"/>
      <c r="H154" s="2"/>
      <c r="M154" s="158"/>
      <c r="V154" s="26"/>
    </row>
    <row r="155" spans="3:22" ht="14.25" customHeight="1">
      <c r="C155" s="2"/>
      <c r="D155" s="2"/>
      <c r="E155" s="2"/>
      <c r="F155" s="2"/>
      <c r="G155" s="2"/>
      <c r="H155" s="2"/>
      <c r="M155" s="158"/>
      <c r="V155" s="26"/>
    </row>
    <row r="156" spans="3:22" ht="14.25" customHeight="1">
      <c r="C156" s="2"/>
      <c r="D156" s="2"/>
      <c r="E156" s="2"/>
      <c r="F156" s="2"/>
      <c r="G156" s="2"/>
      <c r="H156" s="2"/>
      <c r="M156" s="158"/>
      <c r="V156" s="26"/>
    </row>
    <row r="157" spans="3:22" ht="14.25" customHeight="1">
      <c r="C157" s="2"/>
      <c r="D157" s="2"/>
      <c r="E157" s="2"/>
      <c r="F157" s="2"/>
      <c r="G157" s="2"/>
      <c r="H157" s="2"/>
      <c r="M157" s="158"/>
      <c r="V157" s="26"/>
    </row>
    <row r="158" spans="3:22" ht="14.25" customHeight="1">
      <c r="C158" s="2"/>
      <c r="D158" s="2"/>
      <c r="E158" s="2"/>
      <c r="F158" s="2"/>
      <c r="G158" s="2"/>
      <c r="H158" s="2"/>
      <c r="M158" s="158"/>
      <c r="V158" s="26"/>
    </row>
    <row r="159" spans="3:22" ht="14.25" customHeight="1">
      <c r="C159" s="2"/>
      <c r="D159" s="2"/>
      <c r="E159" s="2"/>
      <c r="F159" s="2"/>
      <c r="G159" s="2"/>
      <c r="H159" s="2"/>
      <c r="M159" s="158"/>
      <c r="V159" s="26"/>
    </row>
    <row r="160" spans="3:22" ht="14.25" customHeight="1">
      <c r="C160" s="2"/>
      <c r="D160" s="2"/>
      <c r="E160" s="2"/>
      <c r="F160" s="2"/>
      <c r="G160" s="2"/>
      <c r="H160" s="2"/>
      <c r="M160" s="158"/>
      <c r="V160" s="26"/>
    </row>
    <row r="161" spans="3:22" ht="14.25" customHeight="1">
      <c r="C161" s="2"/>
      <c r="D161" s="2"/>
      <c r="E161" s="2"/>
      <c r="F161" s="2"/>
      <c r="G161" s="2"/>
      <c r="H161" s="2"/>
      <c r="M161" s="158"/>
      <c r="V161" s="26"/>
    </row>
    <row r="162" spans="3:22" ht="14.25" customHeight="1">
      <c r="C162" s="2"/>
      <c r="D162" s="2"/>
      <c r="E162" s="2"/>
      <c r="F162" s="2"/>
      <c r="M162" s="158"/>
      <c r="V162" s="26"/>
    </row>
    <row r="163" spans="3:22" ht="14.25" customHeight="1">
      <c r="C163" s="2"/>
      <c r="D163" s="253"/>
      <c r="F163" s="2"/>
      <c r="M163" s="158"/>
      <c r="V163" s="26"/>
    </row>
    <row r="164" spans="3:22" ht="14.25" customHeight="1">
      <c r="C164" s="2"/>
      <c r="D164" s="253"/>
      <c r="F164" s="2"/>
      <c r="M164" s="158"/>
      <c r="V164" s="26"/>
    </row>
    <row r="165" spans="3:22" ht="14.25" customHeight="1">
      <c r="C165" s="2"/>
      <c r="D165" s="253"/>
      <c r="F165" s="2"/>
      <c r="M165" s="158"/>
      <c r="V165" s="26"/>
    </row>
    <row r="166" spans="3:22" ht="14.25" customHeight="1">
      <c r="C166" s="2"/>
      <c r="D166" s="253"/>
      <c r="F166" s="2"/>
      <c r="M166" s="158"/>
      <c r="V166" s="26"/>
    </row>
    <row r="167" spans="3:22" ht="14.25" customHeight="1">
      <c r="C167" s="2"/>
      <c r="D167" s="253"/>
      <c r="F167" s="2"/>
      <c r="M167" s="158"/>
      <c r="V167" s="26"/>
    </row>
    <row r="168" spans="3:22" ht="14.25" customHeight="1">
      <c r="C168" s="2"/>
      <c r="D168" s="253"/>
      <c r="F168" s="2"/>
      <c r="M168" s="158"/>
      <c r="V168" s="26"/>
    </row>
    <row r="169" spans="3:22" ht="14.25" customHeight="1">
      <c r="C169" s="2"/>
      <c r="D169" s="253"/>
      <c r="F169" s="2"/>
      <c r="P169" s="158"/>
      <c r="V169" s="26"/>
    </row>
    <row r="170" spans="3:22" ht="14.25" customHeight="1">
      <c r="C170" s="2"/>
      <c r="D170" s="253"/>
      <c r="F170" s="2"/>
      <c r="P170" s="158"/>
      <c r="V170" s="26"/>
    </row>
    <row r="171" spans="3:22" ht="14.25" customHeight="1">
      <c r="C171" s="2"/>
      <c r="D171" s="253"/>
      <c r="F171" s="2"/>
      <c r="P171" s="158"/>
      <c r="V171" s="26"/>
    </row>
    <row r="172" spans="3:22" ht="14.25" customHeight="1">
      <c r="C172" s="2"/>
      <c r="D172" s="253"/>
      <c r="F172" s="2"/>
      <c r="Q172" s="158"/>
      <c r="V172" s="26"/>
    </row>
    <row r="173" spans="3:22" ht="14.25" customHeight="1">
      <c r="C173" s="2"/>
      <c r="D173" s="2"/>
      <c r="Q173" s="158"/>
      <c r="V173" s="26"/>
    </row>
    <row r="174" spans="3:22" ht="14.25" customHeight="1">
      <c r="C174" s="2"/>
      <c r="D174" s="2"/>
      <c r="Q174" s="158"/>
      <c r="V174" s="26"/>
    </row>
    <row r="175" spans="3:22" ht="14.25" customHeight="1">
      <c r="C175" s="2"/>
      <c r="D175" s="2"/>
      <c r="Q175" s="158"/>
      <c r="V175" s="26"/>
    </row>
    <row r="176" spans="3:22" ht="14.25" customHeight="1">
      <c r="C176" s="2"/>
      <c r="D176" s="2"/>
      <c r="Q176" s="158"/>
      <c r="V176" s="26"/>
    </row>
    <row r="177" spans="3:22" ht="14.25" customHeight="1">
      <c r="C177" s="2"/>
      <c r="D177" s="2"/>
      <c r="Q177" s="158"/>
      <c r="V177" s="26"/>
    </row>
    <row r="178" spans="3:22" ht="14.25" customHeight="1">
      <c r="C178" s="2"/>
      <c r="D178" s="2"/>
      <c r="Q178" s="158"/>
      <c r="V178" s="26"/>
    </row>
    <row r="179" spans="3:22" ht="14.25" customHeight="1">
      <c r="C179" s="2"/>
      <c r="D179" s="2"/>
      <c r="Q179" s="158"/>
      <c r="V179" s="26"/>
    </row>
    <row r="180" spans="3:22" ht="14.25" customHeight="1">
      <c r="C180" s="2"/>
      <c r="D180" s="2"/>
      <c r="U180" s="158"/>
      <c r="V180" s="26"/>
    </row>
    <row r="181" spans="3:22" ht="14.25" customHeight="1">
      <c r="C181" s="2"/>
      <c r="D181" s="2"/>
      <c r="U181" s="158"/>
      <c r="V181" s="26"/>
    </row>
    <row r="182" spans="3:22" ht="14.25" customHeight="1">
      <c r="C182" s="2"/>
      <c r="D182" s="2"/>
      <c r="U182" s="158"/>
      <c r="V182" s="26"/>
    </row>
    <row r="183" spans="3:22" ht="14.25" customHeight="1">
      <c r="C183" s="2"/>
      <c r="D183" s="2"/>
      <c r="U183" s="158"/>
      <c r="V183" s="26"/>
    </row>
    <row r="184" spans="3:22" ht="14.25" customHeight="1">
      <c r="C184" s="2"/>
      <c r="D184" s="2"/>
      <c r="U184" s="158"/>
      <c r="V184" s="26"/>
    </row>
    <row r="185" spans="3:22" ht="14.25" customHeight="1">
      <c r="C185" s="2"/>
      <c r="D185" s="2"/>
      <c r="U185" s="158"/>
      <c r="V185" s="26"/>
    </row>
    <row r="186" spans="3:22" ht="14.25" customHeight="1">
      <c r="C186" s="2"/>
      <c r="D186" s="2"/>
      <c r="U186" s="158"/>
      <c r="V186" s="26"/>
    </row>
    <row r="187" spans="3:22" ht="14.25" customHeight="1">
      <c r="C187" s="2"/>
      <c r="D187" s="2"/>
      <c r="U187" s="158"/>
      <c r="V187" s="26"/>
    </row>
    <row r="188" spans="3:22" ht="14.25" customHeight="1">
      <c r="C188" s="2"/>
      <c r="D188" s="2"/>
      <c r="U188" s="158"/>
      <c r="V188" s="26"/>
    </row>
    <row r="189" spans="3:22" ht="14.25" customHeight="1">
      <c r="C189" s="2"/>
      <c r="D189" s="2"/>
      <c r="U189" s="158"/>
      <c r="V189" s="26"/>
    </row>
    <row r="190" spans="3:22" ht="14.25" customHeight="1">
      <c r="C190" s="2"/>
      <c r="D190" s="2"/>
      <c r="U190" s="158"/>
      <c r="V190" s="26"/>
    </row>
    <row r="191" spans="3:22" ht="14.25" customHeight="1">
      <c r="C191" s="2"/>
      <c r="D191" s="2"/>
      <c r="U191" s="158"/>
      <c r="V191" s="26"/>
    </row>
    <row r="192" spans="3:22" ht="14.25" customHeight="1">
      <c r="C192" s="2"/>
      <c r="D192" s="2"/>
      <c r="U192" s="158"/>
      <c r="V192" s="26"/>
    </row>
    <row r="193" spans="3:22" ht="14.25" customHeight="1">
      <c r="C193" s="2"/>
      <c r="D193" s="2"/>
      <c r="U193" s="158"/>
      <c r="V193" s="26"/>
    </row>
    <row r="194" spans="3:22" ht="14.25" customHeight="1">
      <c r="C194" s="2"/>
      <c r="D194" s="2"/>
      <c r="U194" s="158"/>
      <c r="V194" s="26"/>
    </row>
    <row r="195" spans="3:22" ht="14.25" customHeight="1">
      <c r="C195" s="2"/>
      <c r="D195" s="2"/>
      <c r="U195" s="158"/>
      <c r="V195" s="26"/>
    </row>
    <row r="196" spans="3:22" ht="14.25" customHeight="1">
      <c r="C196" s="2"/>
      <c r="D196" s="2"/>
      <c r="U196" s="158"/>
      <c r="V196" s="26"/>
    </row>
    <row r="197" spans="3:22" ht="14.25" customHeight="1">
      <c r="C197" s="2"/>
      <c r="D197" s="2"/>
      <c r="U197" s="158"/>
      <c r="V197" s="26"/>
    </row>
    <row r="198" spans="3:22" ht="14.25" customHeight="1">
      <c r="C198" s="2"/>
      <c r="D198" s="2"/>
      <c r="U198" s="158"/>
      <c r="V198" s="26"/>
    </row>
    <row r="199" spans="3:22" ht="14.25" customHeight="1">
      <c r="C199" s="2"/>
      <c r="D199" s="2"/>
      <c r="U199" s="158"/>
      <c r="V199" s="26"/>
    </row>
    <row r="200" spans="3:22" ht="14.25" customHeight="1">
      <c r="C200" s="2"/>
      <c r="D200" s="2"/>
      <c r="U200" s="158"/>
      <c r="V200" s="26"/>
    </row>
    <row r="201" spans="3:22" ht="14.25" customHeight="1">
      <c r="C201" s="2"/>
      <c r="D201" s="2"/>
      <c r="U201" s="158"/>
      <c r="V201" s="26"/>
    </row>
    <row r="202" spans="3:22" ht="14.25" customHeight="1">
      <c r="C202" s="2"/>
      <c r="D202" s="2"/>
      <c r="U202" s="158"/>
      <c r="V202" s="26"/>
    </row>
    <row r="203" spans="3:22" ht="14.25" customHeight="1">
      <c r="C203" s="2"/>
      <c r="D203" s="2"/>
      <c r="U203" s="158"/>
      <c r="V203" s="26"/>
    </row>
    <row r="204" spans="3:22" ht="14.25" customHeight="1">
      <c r="C204" s="2"/>
      <c r="D204" s="2"/>
      <c r="U204" s="158"/>
      <c r="V204" s="26"/>
    </row>
    <row r="205" spans="3:22" ht="14.25" customHeight="1">
      <c r="C205" s="2"/>
      <c r="D205" s="2"/>
      <c r="U205" s="158"/>
      <c r="V205" s="26"/>
    </row>
    <row r="206" spans="3:22" ht="14.25" customHeight="1">
      <c r="C206" s="2"/>
      <c r="D206" s="2"/>
      <c r="U206" s="158"/>
      <c r="V206" s="26"/>
    </row>
    <row r="207" spans="3:22" ht="14.25" customHeight="1">
      <c r="C207" s="2"/>
      <c r="D207" s="2"/>
      <c r="U207" s="158"/>
      <c r="V207" s="26"/>
    </row>
    <row r="208" spans="3:22" ht="14.25" customHeight="1">
      <c r="C208" s="2"/>
      <c r="D208" s="2"/>
      <c r="U208" s="158"/>
      <c r="V208" s="26"/>
    </row>
    <row r="209" spans="3:22" ht="14.25" customHeight="1">
      <c r="C209" s="2"/>
      <c r="D209" s="2"/>
      <c r="U209" s="158"/>
      <c r="V209" s="26"/>
    </row>
    <row r="210" spans="3:22" ht="14.25" customHeight="1">
      <c r="C210" s="2"/>
      <c r="D210" s="2"/>
      <c r="U210" s="158"/>
      <c r="V210" s="26"/>
    </row>
    <row r="211" spans="3:22" ht="14.25" customHeight="1">
      <c r="C211" s="2"/>
      <c r="D211" s="2"/>
      <c r="U211" s="158"/>
      <c r="V211" s="26"/>
    </row>
    <row r="212" spans="3:22" ht="14.25" customHeight="1">
      <c r="C212" s="2"/>
      <c r="D212" s="2"/>
      <c r="U212" s="158"/>
      <c r="V212" s="26"/>
    </row>
    <row r="213" spans="3:22" ht="14.25" customHeight="1">
      <c r="C213" s="2"/>
      <c r="D213" s="2"/>
      <c r="U213" s="158"/>
      <c r="V213" s="26"/>
    </row>
    <row r="214" spans="3:22" ht="14.25" customHeight="1">
      <c r="C214" s="2"/>
      <c r="D214" s="2"/>
      <c r="U214" s="158"/>
      <c r="V214" s="26"/>
    </row>
    <row r="215" spans="3:22" ht="14.25" customHeight="1">
      <c r="C215" s="2"/>
      <c r="D215" s="2"/>
      <c r="U215" s="158"/>
      <c r="V215" s="26"/>
    </row>
    <row r="216" spans="3:22" ht="14.25" customHeight="1">
      <c r="C216" s="2"/>
      <c r="D216" s="2"/>
      <c r="U216" s="158"/>
      <c r="V216" s="26"/>
    </row>
    <row r="217" spans="3:22" ht="14.25" customHeight="1">
      <c r="C217" s="2"/>
      <c r="D217" s="2"/>
      <c r="U217" s="158"/>
      <c r="V217" s="26"/>
    </row>
    <row r="218" spans="3:22" ht="14.25" customHeight="1">
      <c r="C218" s="2"/>
      <c r="D218" s="2"/>
      <c r="U218" s="158"/>
      <c r="V218" s="26"/>
    </row>
    <row r="219" spans="3:22" ht="14.25" customHeight="1">
      <c r="C219" s="2"/>
      <c r="D219" s="2"/>
      <c r="U219" s="158"/>
      <c r="V219" s="26"/>
    </row>
    <row r="220" spans="3:22" ht="14.25" customHeight="1">
      <c r="C220" s="2"/>
      <c r="D220" s="2"/>
      <c r="U220" s="158"/>
      <c r="V220" s="26"/>
    </row>
    <row r="221" spans="3:22" ht="14.25" customHeight="1">
      <c r="C221" s="2"/>
      <c r="D221" s="2"/>
      <c r="U221" s="158"/>
      <c r="V221" s="26"/>
    </row>
    <row r="222" spans="3:22" ht="14.25" customHeight="1">
      <c r="C222" s="2"/>
      <c r="D222" s="2"/>
      <c r="U222" s="158"/>
      <c r="V222" s="26"/>
    </row>
    <row r="223" spans="3:22" ht="14.25" customHeight="1">
      <c r="C223" s="2"/>
      <c r="D223" s="2"/>
      <c r="U223" s="158"/>
      <c r="V223" s="26"/>
    </row>
    <row r="224" spans="3:22" ht="14.25" customHeight="1">
      <c r="C224" s="2"/>
      <c r="D224" s="2"/>
      <c r="U224" s="158"/>
      <c r="V224" s="26"/>
    </row>
    <row r="225" spans="3:22" ht="14.25" customHeight="1">
      <c r="C225" s="2"/>
      <c r="D225" s="2"/>
      <c r="U225" s="158"/>
      <c r="V225" s="26"/>
    </row>
    <row r="226" spans="3:22" ht="14.25" customHeight="1">
      <c r="C226" s="2"/>
      <c r="D226" s="2"/>
      <c r="U226" s="158"/>
      <c r="V226" s="26"/>
    </row>
    <row r="227" spans="3:22" ht="14.25" customHeight="1">
      <c r="C227" s="2"/>
      <c r="D227" s="2"/>
      <c r="U227" s="158"/>
      <c r="V227" s="26"/>
    </row>
    <row r="228" spans="3:22" ht="14.25" customHeight="1">
      <c r="C228" s="2"/>
      <c r="D228" s="2"/>
      <c r="U228" s="158"/>
      <c r="V228" s="26"/>
    </row>
    <row r="229" spans="3:22" ht="14.25" customHeight="1">
      <c r="C229" s="2"/>
      <c r="D229" s="2"/>
      <c r="U229" s="158"/>
      <c r="V229" s="26"/>
    </row>
    <row r="230" spans="3:22" ht="14.25" customHeight="1">
      <c r="C230" s="2"/>
      <c r="D230" s="2"/>
      <c r="U230" s="158"/>
      <c r="V230" s="26"/>
    </row>
    <row r="231" spans="3:22" ht="14.25" customHeight="1">
      <c r="C231" s="2"/>
      <c r="D231" s="2"/>
      <c r="U231" s="158"/>
      <c r="V231" s="26"/>
    </row>
    <row r="232" spans="3:22" ht="14.25" customHeight="1">
      <c r="C232" s="2"/>
      <c r="D232" s="2"/>
      <c r="U232" s="158"/>
      <c r="V232" s="26"/>
    </row>
    <row r="233" spans="3:22" ht="14.25" customHeight="1">
      <c r="C233" s="2"/>
      <c r="D233" s="2"/>
      <c r="U233" s="158"/>
      <c r="V233" s="26"/>
    </row>
    <row r="234" spans="3:22" ht="14.25" customHeight="1">
      <c r="C234" s="2"/>
      <c r="D234" s="2"/>
      <c r="U234" s="158"/>
      <c r="V234" s="26"/>
    </row>
    <row r="235" spans="3:22" ht="14.25" customHeight="1">
      <c r="C235" s="2"/>
      <c r="D235" s="2"/>
      <c r="U235" s="158"/>
      <c r="V235" s="26"/>
    </row>
    <row r="236" spans="3:22" ht="14.25" customHeight="1">
      <c r="C236" s="2"/>
      <c r="D236" s="2"/>
      <c r="U236" s="158"/>
      <c r="V236" s="26"/>
    </row>
    <row r="237" spans="3:22" ht="14.25" customHeight="1">
      <c r="C237" s="2"/>
      <c r="D237" s="2"/>
      <c r="U237" s="158"/>
      <c r="V237" s="26"/>
    </row>
    <row r="238" spans="3:22" ht="14.25" customHeight="1">
      <c r="C238" s="2"/>
      <c r="D238" s="2"/>
      <c r="U238" s="158"/>
      <c r="V238" s="26"/>
    </row>
    <row r="239" spans="3:22" ht="14.25" customHeight="1">
      <c r="C239" s="2"/>
      <c r="D239" s="2"/>
    </row>
    <row r="240" spans="3:22" ht="14.25" customHeight="1">
      <c r="C240" s="2"/>
      <c r="D240" s="2"/>
    </row>
    <row r="241" spans="3:4" ht="14.25" customHeight="1">
      <c r="C241" s="2"/>
      <c r="D241" s="2"/>
    </row>
    <row r="242" spans="3:4" ht="14.25" customHeight="1">
      <c r="C242" s="2"/>
      <c r="D242" s="2"/>
    </row>
    <row r="243" spans="3:4" ht="14.25" customHeight="1">
      <c r="C243" s="2"/>
      <c r="D243" s="2"/>
    </row>
    <row r="244" spans="3:4" ht="14.25" customHeight="1">
      <c r="C244" s="2"/>
      <c r="D244" s="2"/>
    </row>
    <row r="245" spans="3:4" ht="14.25" customHeight="1">
      <c r="C245" s="2"/>
      <c r="D245" s="2"/>
    </row>
    <row r="246" spans="3:4" ht="14.25" customHeight="1">
      <c r="C246" s="2"/>
      <c r="D246" s="2"/>
    </row>
    <row r="247" spans="3:4" ht="14.25" customHeight="1">
      <c r="C247" s="2"/>
      <c r="D247" s="2"/>
    </row>
    <row r="248" spans="3:4" ht="14.25" customHeight="1">
      <c r="C248" s="2"/>
      <c r="D248" s="2"/>
    </row>
    <row r="249" spans="3:4" ht="14.25" customHeight="1">
      <c r="C249" s="2"/>
      <c r="D249" s="2"/>
    </row>
    <row r="250" spans="3:4" ht="14.25" customHeight="1">
      <c r="C250" s="2"/>
      <c r="D250" s="2"/>
    </row>
    <row r="251" spans="3:4" ht="14.25" customHeight="1">
      <c r="C251" s="2"/>
      <c r="D251" s="2"/>
    </row>
    <row r="252" spans="3:4" ht="14.25" customHeight="1">
      <c r="C252" s="2"/>
      <c r="D252" s="2"/>
    </row>
    <row r="253" spans="3:4" ht="14.25" customHeight="1">
      <c r="C253" s="2"/>
      <c r="D253" s="2"/>
    </row>
    <row r="254" spans="3:4" ht="14.25" customHeight="1">
      <c r="C254" s="2"/>
      <c r="D254" s="2"/>
    </row>
    <row r="255" spans="3:4" ht="14.25" customHeight="1">
      <c r="C255" s="2"/>
      <c r="D255" s="2"/>
    </row>
    <row r="256" spans="3:4" ht="14.25" customHeight="1">
      <c r="C256" s="2"/>
      <c r="D256" s="2"/>
    </row>
    <row r="257" spans="3:4" ht="14.25" customHeight="1">
      <c r="C257" s="2"/>
      <c r="D257" s="2"/>
    </row>
    <row r="258" spans="3:4" ht="14.25" customHeight="1">
      <c r="C258" s="2"/>
      <c r="D258" s="2"/>
    </row>
    <row r="259" spans="3:4" ht="14.25" customHeight="1">
      <c r="C259" s="2"/>
      <c r="D259" s="2"/>
    </row>
    <row r="260" spans="3:4" ht="14.25" customHeight="1">
      <c r="C260" s="2"/>
      <c r="D260" s="2"/>
    </row>
    <row r="261" spans="3:4" ht="14.25" customHeight="1">
      <c r="C261" s="2"/>
      <c r="D261" s="2"/>
    </row>
    <row r="262" spans="3:4" ht="14.25" customHeight="1">
      <c r="C262" s="2"/>
      <c r="D262" s="2"/>
    </row>
    <row r="263" spans="3:4" ht="14.25" customHeight="1">
      <c r="C263" s="2"/>
      <c r="D263" s="2"/>
    </row>
    <row r="264" spans="3:4" ht="14.25" customHeight="1">
      <c r="C264" s="2"/>
      <c r="D264" s="2"/>
    </row>
    <row r="265" spans="3:4" ht="14.25" customHeight="1">
      <c r="C265" s="2"/>
      <c r="D265" s="2"/>
    </row>
    <row r="266" spans="3:4" ht="14.25" customHeight="1">
      <c r="C266" s="2"/>
      <c r="D266" s="2"/>
    </row>
    <row r="267" spans="3:4" ht="14.25" customHeight="1">
      <c r="C267" s="2"/>
      <c r="D267" s="2"/>
    </row>
    <row r="268" spans="3:4" ht="14.25" customHeight="1">
      <c r="C268" s="2"/>
      <c r="D268" s="2"/>
    </row>
    <row r="269" spans="3:4" ht="14.25" customHeight="1">
      <c r="C269" s="2"/>
      <c r="D269" s="2"/>
    </row>
    <row r="270" spans="3:4" ht="14.25" customHeight="1">
      <c r="C270" s="2"/>
      <c r="D270" s="2"/>
    </row>
    <row r="271" spans="3:4" ht="14.25" customHeight="1">
      <c r="C271" s="2"/>
      <c r="D271" s="2"/>
    </row>
    <row r="272" spans="3:4" ht="14.25" customHeight="1">
      <c r="C272" s="2"/>
      <c r="D272" s="2"/>
    </row>
    <row r="273" spans="3:4" ht="14.25" customHeight="1">
      <c r="C273" s="2"/>
      <c r="D273" s="2"/>
    </row>
    <row r="274" spans="3:4" ht="14.25" customHeight="1">
      <c r="C274" s="2"/>
      <c r="D274" s="2"/>
    </row>
    <row r="275" spans="3:4" ht="14.25" customHeight="1">
      <c r="C275" s="2"/>
      <c r="D275" s="2"/>
    </row>
    <row r="276" spans="3:4" ht="14.25" customHeight="1">
      <c r="C276" s="2"/>
      <c r="D276" s="2"/>
    </row>
    <row r="277" spans="3:4" ht="14.25" customHeight="1">
      <c r="C277" s="2"/>
      <c r="D277" s="2"/>
    </row>
    <row r="278" spans="3:4" ht="14.25" customHeight="1">
      <c r="C278" s="2"/>
      <c r="D278" s="2"/>
    </row>
    <row r="279" spans="3:4" ht="14.25" customHeight="1">
      <c r="C279" s="2"/>
      <c r="D279" s="2"/>
    </row>
    <row r="280" spans="3:4" ht="14.25" customHeight="1">
      <c r="C280" s="2"/>
      <c r="D280" s="2"/>
    </row>
  </sheetData>
  <sheetCalcPr fullCalcOnLoad="1"/>
  <autoFilter ref="A1:V280"/>
  <mergeCells count="2">
    <mergeCell ref="R99:S99"/>
    <mergeCell ref="R100:S100"/>
  </mergeCells>
  <phoneticPr fontId="48" type="noConversion"/>
  <conditionalFormatting sqref="C125 C139 C127:C135">
    <cfRule type="cellIs" dxfId="41" priority="10" stopIfTrue="1" operator="between">
      <formula>0</formula>
      <formula>79.9</formula>
    </cfRule>
    <cfRule type="cellIs" dxfId="40" priority="11" stopIfTrue="1" operator="between">
      <formula>80</formula>
      <formula>97.9</formula>
    </cfRule>
    <cfRule type="cellIs" dxfId="39" priority="12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241"/>
  <sheetViews>
    <sheetView topLeftCell="A115" zoomScale="95" zoomScaleNormal="95" zoomScalePageLayoutView="95" workbookViewId="0">
      <selection activeCell="K120" sqref="K120"/>
    </sheetView>
  </sheetViews>
  <sheetFormatPr baseColWidth="10" defaultColWidth="8.83203125" defaultRowHeight="14.25" customHeight="1"/>
  <cols>
    <col min="1" max="1" width="19.83203125" style="172" bestFit="1" customWidth="1"/>
    <col min="2" max="2" width="7.83203125" style="172" bestFit="1" customWidth="1"/>
    <col min="3" max="3" width="20.83203125" style="194" bestFit="1" customWidth="1"/>
    <col min="4" max="4" width="14.33203125" style="194" bestFit="1" customWidth="1"/>
    <col min="5" max="5" width="15.6640625" style="172" bestFit="1" customWidth="1"/>
    <col min="6" max="7" width="14.1640625" style="172" bestFit="1" customWidth="1"/>
    <col min="8" max="8" width="17.33203125" style="172" bestFit="1" customWidth="1"/>
    <col min="9" max="9" width="19.5" style="172" bestFit="1" customWidth="1"/>
    <col min="10" max="10" width="11.6640625" style="172" bestFit="1" customWidth="1"/>
    <col min="11" max="11" width="14.83203125" style="206" bestFit="1" customWidth="1"/>
    <col min="12" max="12" width="13.1640625" style="206" bestFit="1" customWidth="1"/>
    <col min="13" max="13" width="10.6640625" style="206" bestFit="1" customWidth="1"/>
    <col min="14" max="14" width="8.33203125" style="206" bestFit="1" customWidth="1"/>
    <col min="15" max="15" width="16.1640625" style="206" bestFit="1" customWidth="1"/>
    <col min="16" max="16" width="16" style="206" bestFit="1" customWidth="1"/>
    <col min="17" max="17" width="10.5" style="206" customWidth="1"/>
    <col min="18" max="18" width="8.6640625" style="206" customWidth="1"/>
    <col min="19" max="19" width="7.33203125" style="206" customWidth="1"/>
    <col min="20" max="16384" width="8.83203125" style="202"/>
  </cols>
  <sheetData>
    <row r="1" spans="1:19" ht="14.25" customHeight="1" thickBot="1">
      <c r="A1" s="167" t="s">
        <v>69</v>
      </c>
      <c r="B1" s="167" t="s">
        <v>70</v>
      </c>
      <c r="C1" s="167" t="s">
        <v>71</v>
      </c>
      <c r="D1" s="168" t="s">
        <v>190</v>
      </c>
      <c r="E1" s="168" t="s">
        <v>24</v>
      </c>
      <c r="F1" s="167" t="s">
        <v>72</v>
      </c>
      <c r="G1" s="167" t="s">
        <v>73</v>
      </c>
      <c r="H1" s="167" t="s">
        <v>74</v>
      </c>
      <c r="I1" s="167" t="s">
        <v>75</v>
      </c>
      <c r="J1" s="167" t="s">
        <v>76</v>
      </c>
      <c r="K1" s="104" t="s">
        <v>77</v>
      </c>
      <c r="L1" s="104" t="s">
        <v>78</v>
      </c>
      <c r="M1" s="104" t="s">
        <v>79</v>
      </c>
      <c r="N1" s="104" t="s">
        <v>82</v>
      </c>
      <c r="O1" s="104" t="s">
        <v>83</v>
      </c>
      <c r="P1" s="104" t="s">
        <v>84</v>
      </c>
      <c r="Q1" s="104" t="s">
        <v>85</v>
      </c>
      <c r="R1" s="104" t="s">
        <v>86</v>
      </c>
      <c r="S1" s="104" t="s">
        <v>87</v>
      </c>
    </row>
    <row r="2" spans="1:19" ht="14.25" customHeight="1">
      <c r="A2" s="172" t="s">
        <v>94</v>
      </c>
      <c r="B2" s="41" t="s">
        <v>89</v>
      </c>
      <c r="C2" s="205" t="s">
        <v>124</v>
      </c>
      <c r="D2" s="268"/>
      <c r="E2" s="269"/>
      <c r="F2" s="172">
        <v>2009</v>
      </c>
      <c r="G2" s="175" t="s">
        <v>90</v>
      </c>
      <c r="H2" s="172" t="s">
        <v>177</v>
      </c>
      <c r="I2" s="41" t="s">
        <v>91</v>
      </c>
      <c r="J2" s="172" t="s">
        <v>81</v>
      </c>
      <c r="K2" s="206">
        <v>1200</v>
      </c>
      <c r="L2" s="206">
        <v>1.2E-2</v>
      </c>
      <c r="M2" s="206" t="s">
        <v>80</v>
      </c>
      <c r="N2" s="206" t="s">
        <v>88</v>
      </c>
      <c r="O2" s="102">
        <v>100</v>
      </c>
      <c r="P2" s="243">
        <v>1E-3</v>
      </c>
      <c r="Q2" s="197">
        <v>3.0999999999999999E-3</v>
      </c>
      <c r="R2" s="197">
        <v>4.7999999999999996E-3</v>
      </c>
      <c r="S2" s="197">
        <v>5.7999999999999996E-3</v>
      </c>
    </row>
    <row r="3" spans="1:19" ht="14.25" customHeight="1">
      <c r="A3" s="172" t="s">
        <v>94</v>
      </c>
      <c r="B3" s="41" t="s">
        <v>89</v>
      </c>
      <c r="C3" s="172" t="s">
        <v>100</v>
      </c>
      <c r="D3" s="92">
        <v>-50.439226072752582</v>
      </c>
      <c r="E3" s="92">
        <v>-21.205476000000004</v>
      </c>
      <c r="F3" s="172">
        <v>2009</v>
      </c>
      <c r="G3" s="175" t="s">
        <v>90</v>
      </c>
      <c r="H3" s="172" t="s">
        <v>177</v>
      </c>
      <c r="I3" s="41" t="s">
        <v>91</v>
      </c>
      <c r="J3" s="172" t="s">
        <v>81</v>
      </c>
      <c r="K3" s="102">
        <v>1200</v>
      </c>
      <c r="L3" s="206">
        <v>1.2E-2</v>
      </c>
      <c r="M3" s="206" t="s">
        <v>80</v>
      </c>
      <c r="N3" s="206" t="s">
        <v>88</v>
      </c>
      <c r="O3" s="147">
        <v>77.7</v>
      </c>
      <c r="P3" s="197">
        <v>1.0000000000000009E-3</v>
      </c>
      <c r="Q3" s="197">
        <v>7.6E-3</v>
      </c>
      <c r="R3" s="197">
        <v>1.6E-2</v>
      </c>
      <c r="S3" s="197">
        <v>2.1000000000000001E-2</v>
      </c>
    </row>
    <row r="4" spans="1:19" ht="14.25" customHeight="1">
      <c r="A4" s="172" t="s">
        <v>94</v>
      </c>
      <c r="B4" s="41" t="s">
        <v>89</v>
      </c>
      <c r="C4" s="102" t="s">
        <v>101</v>
      </c>
      <c r="D4" s="92">
        <v>-48.567377839455055</v>
      </c>
      <c r="E4" s="92">
        <v>-20.558455515000002</v>
      </c>
      <c r="F4" s="172">
        <v>2009</v>
      </c>
      <c r="G4" s="175" t="s">
        <v>90</v>
      </c>
      <c r="H4" s="172" t="s">
        <v>177</v>
      </c>
      <c r="I4" s="41" t="s">
        <v>91</v>
      </c>
      <c r="J4" s="172" t="s">
        <v>81</v>
      </c>
      <c r="K4" s="102">
        <v>1200</v>
      </c>
      <c r="L4" s="206">
        <v>1.2E-2</v>
      </c>
      <c r="M4" s="206" t="s">
        <v>80</v>
      </c>
      <c r="N4" s="206" t="s">
        <v>88</v>
      </c>
      <c r="O4" s="147">
        <v>64.399999999999991</v>
      </c>
      <c r="P4" s="197">
        <v>2.0000000000000018E-3</v>
      </c>
      <c r="Q4" s="197">
        <v>9.4000000000000004E-3</v>
      </c>
      <c r="R4" s="197">
        <v>2.5000000000000001E-2</v>
      </c>
      <c r="S4" s="197">
        <v>3.7999999999999999E-2</v>
      </c>
    </row>
    <row r="5" spans="1:19" ht="14.25" customHeight="1">
      <c r="A5" s="172" t="s">
        <v>94</v>
      </c>
      <c r="B5" s="41" t="s">
        <v>89</v>
      </c>
      <c r="C5" s="41" t="s">
        <v>102</v>
      </c>
      <c r="D5" s="92">
        <v>-49.083000867090362</v>
      </c>
      <c r="E5" s="92">
        <v>-22.325122500000006</v>
      </c>
      <c r="F5" s="172">
        <v>2009</v>
      </c>
      <c r="G5" s="175" t="s">
        <v>90</v>
      </c>
      <c r="H5" s="172" t="s">
        <v>177</v>
      </c>
      <c r="I5" s="41" t="s">
        <v>91</v>
      </c>
      <c r="J5" s="172" t="s">
        <v>81</v>
      </c>
      <c r="K5" s="102">
        <v>1200</v>
      </c>
      <c r="L5" s="206">
        <v>1.2E-2</v>
      </c>
      <c r="M5" s="206" t="s">
        <v>80</v>
      </c>
      <c r="N5" s="206" t="s">
        <v>88</v>
      </c>
      <c r="O5" s="147">
        <v>83.575000000000003</v>
      </c>
      <c r="P5" s="197">
        <v>9.9999999999999742E-4</v>
      </c>
      <c r="Q5" s="197">
        <v>6.7000000000000002E-3</v>
      </c>
      <c r="R5" s="197">
        <v>1.7999999999999999E-2</v>
      </c>
      <c r="S5" s="197">
        <v>2.7E-2</v>
      </c>
    </row>
    <row r="6" spans="1:19" ht="14.25" customHeight="1">
      <c r="A6" s="172" t="s">
        <v>94</v>
      </c>
      <c r="B6" s="41" t="s">
        <v>89</v>
      </c>
      <c r="C6" s="102" t="s">
        <v>104</v>
      </c>
      <c r="D6" s="92">
        <v>-48.441289384350434</v>
      </c>
      <c r="E6" s="92">
        <v>-22.888381500000008</v>
      </c>
      <c r="F6" s="172">
        <v>2009</v>
      </c>
      <c r="G6" s="175" t="s">
        <v>90</v>
      </c>
      <c r="H6" s="172" t="s">
        <v>177</v>
      </c>
      <c r="I6" s="41" t="s">
        <v>91</v>
      </c>
      <c r="J6" s="172" t="s">
        <v>81</v>
      </c>
      <c r="K6" s="102">
        <v>1200</v>
      </c>
      <c r="L6" s="206">
        <v>1.2E-2</v>
      </c>
      <c r="M6" s="206" t="s">
        <v>80</v>
      </c>
      <c r="N6" s="206" t="s">
        <v>88</v>
      </c>
      <c r="O6" s="147">
        <v>87.724999999999994</v>
      </c>
      <c r="P6" s="197">
        <v>9.9999999999999915E-4</v>
      </c>
      <c r="Q6" s="197">
        <v>7.0000000000000001E-3</v>
      </c>
      <c r="R6" s="197">
        <v>1.4999999999999999E-2</v>
      </c>
      <c r="S6" s="197">
        <v>2.1000000000000001E-2</v>
      </c>
    </row>
    <row r="7" spans="1:19" ht="14.25" customHeight="1">
      <c r="A7" s="172" t="s">
        <v>94</v>
      </c>
      <c r="B7" s="41" t="s">
        <v>89</v>
      </c>
      <c r="C7" s="102" t="s">
        <v>106</v>
      </c>
      <c r="D7" s="92">
        <v>-46.933372863488053</v>
      </c>
      <c r="E7" s="92">
        <v>-23.546934000000004</v>
      </c>
      <c r="F7" s="172">
        <v>2009</v>
      </c>
      <c r="G7" s="175" t="s">
        <v>90</v>
      </c>
      <c r="H7" s="172" t="s">
        <v>177</v>
      </c>
      <c r="I7" s="41" t="s">
        <v>91</v>
      </c>
      <c r="J7" s="172" t="s">
        <v>81</v>
      </c>
      <c r="K7" s="102">
        <v>1200</v>
      </c>
      <c r="L7" s="206">
        <v>1.2E-2</v>
      </c>
      <c r="M7" s="206" t="s">
        <v>80</v>
      </c>
      <c r="N7" s="206" t="s">
        <v>88</v>
      </c>
      <c r="O7" s="147">
        <v>65.974999999999994</v>
      </c>
      <c r="P7" s="197">
        <v>2.0000000000000018E-3</v>
      </c>
      <c r="Q7" s="197">
        <v>9.2999999999999992E-3</v>
      </c>
      <c r="R7" s="197">
        <v>2.5000000000000001E-2</v>
      </c>
      <c r="S7" s="197">
        <v>3.7999999999999999E-2</v>
      </c>
    </row>
    <row r="8" spans="1:19" ht="14.25" customHeight="1">
      <c r="A8" s="172" t="s">
        <v>94</v>
      </c>
      <c r="B8" s="41" t="s">
        <v>89</v>
      </c>
      <c r="C8" s="102" t="s">
        <v>107</v>
      </c>
      <c r="D8" s="92">
        <v>-49.951645643103269</v>
      </c>
      <c r="E8" s="92">
        <v>-22.214933000000002</v>
      </c>
      <c r="F8" s="172">
        <v>2009</v>
      </c>
      <c r="G8" s="175" t="s">
        <v>90</v>
      </c>
      <c r="H8" s="172" t="s">
        <v>177</v>
      </c>
      <c r="I8" s="41" t="s">
        <v>91</v>
      </c>
      <c r="J8" s="172" t="s">
        <v>81</v>
      </c>
      <c r="K8" s="102">
        <v>1500</v>
      </c>
      <c r="L8" s="206">
        <v>1.2E-2</v>
      </c>
      <c r="M8" s="206" t="s">
        <v>80</v>
      </c>
      <c r="N8" s="206" t="s">
        <v>88</v>
      </c>
      <c r="O8" s="147">
        <v>86.679999999999993</v>
      </c>
      <c r="P8" s="197">
        <v>1E-3</v>
      </c>
      <c r="Q8" s="197">
        <v>6.3E-3</v>
      </c>
      <c r="R8" s="197">
        <v>1.2999999999999999E-2</v>
      </c>
      <c r="S8" s="197">
        <v>1.7999999999999999E-2</v>
      </c>
    </row>
    <row r="9" spans="1:19" ht="14.25" customHeight="1">
      <c r="A9" s="172" t="s">
        <v>94</v>
      </c>
      <c r="B9" s="41" t="s">
        <v>89</v>
      </c>
      <c r="C9" s="102" t="s">
        <v>108</v>
      </c>
      <c r="D9" s="92">
        <v>-51.386765581912492</v>
      </c>
      <c r="E9" s="92">
        <v>-22.122743500000002</v>
      </c>
      <c r="F9" s="172">
        <v>2009</v>
      </c>
      <c r="G9" s="175" t="s">
        <v>90</v>
      </c>
      <c r="H9" s="172" t="s">
        <v>177</v>
      </c>
      <c r="I9" s="41" t="s">
        <v>91</v>
      </c>
      <c r="J9" s="172" t="s">
        <v>81</v>
      </c>
      <c r="K9" s="102">
        <v>1200</v>
      </c>
      <c r="L9" s="206">
        <v>1.2E-2</v>
      </c>
      <c r="M9" s="206" t="s">
        <v>80</v>
      </c>
      <c r="N9" s="206" t="s">
        <v>88</v>
      </c>
      <c r="O9" s="147">
        <v>63</v>
      </c>
      <c r="P9" s="197">
        <v>1.0000000000000009E-3</v>
      </c>
      <c r="Q9" s="197">
        <v>1.0999999999999999E-2</v>
      </c>
      <c r="R9" s="197">
        <v>0.02</v>
      </c>
      <c r="S9" s="197">
        <v>2.5000000000000001E-2</v>
      </c>
    </row>
    <row r="10" spans="1:19" ht="14.25" customHeight="1">
      <c r="A10" s="172" t="s">
        <v>94</v>
      </c>
      <c r="B10" s="41" t="s">
        <v>89</v>
      </c>
      <c r="C10" s="102" t="s">
        <v>109</v>
      </c>
      <c r="D10" s="92">
        <v>-47.805475915541528</v>
      </c>
      <c r="E10" s="92">
        <v>-21.184834500000004</v>
      </c>
      <c r="F10" s="172">
        <v>2009</v>
      </c>
      <c r="G10" s="175" t="s">
        <v>90</v>
      </c>
      <c r="H10" s="172" t="s">
        <v>177</v>
      </c>
      <c r="I10" s="41" t="s">
        <v>91</v>
      </c>
      <c r="J10" s="172" t="s">
        <v>81</v>
      </c>
      <c r="K10" s="102">
        <v>1500</v>
      </c>
      <c r="L10" s="206">
        <v>1.2E-2</v>
      </c>
      <c r="M10" s="206" t="s">
        <v>80</v>
      </c>
      <c r="N10" s="206" t="s">
        <v>88</v>
      </c>
      <c r="O10" s="147">
        <v>84.960000000000008</v>
      </c>
      <c r="P10" s="197">
        <v>1E-3</v>
      </c>
      <c r="Q10" s="197">
        <v>8.0000000000000002E-3</v>
      </c>
      <c r="R10" s="197">
        <v>1.4999999999999999E-2</v>
      </c>
      <c r="S10" s="197">
        <v>0.02</v>
      </c>
    </row>
    <row r="11" spans="1:19" ht="14.25" customHeight="1">
      <c r="A11" s="172" t="s">
        <v>94</v>
      </c>
      <c r="B11" s="41" t="s">
        <v>89</v>
      </c>
      <c r="C11" s="102" t="s">
        <v>152</v>
      </c>
      <c r="D11" s="92">
        <v>-46.331370849190684</v>
      </c>
      <c r="E11" s="92">
        <v>-23.933737500000003</v>
      </c>
      <c r="F11" s="172">
        <v>2009</v>
      </c>
      <c r="G11" s="175" t="s">
        <v>90</v>
      </c>
      <c r="H11" s="172" t="s">
        <v>177</v>
      </c>
      <c r="I11" s="41" t="s">
        <v>91</v>
      </c>
      <c r="J11" s="172" t="s">
        <v>81</v>
      </c>
      <c r="K11" s="102">
        <v>1200</v>
      </c>
      <c r="L11" s="206">
        <v>1.2E-2</v>
      </c>
      <c r="M11" s="206" t="s">
        <v>80</v>
      </c>
      <c r="N11" s="206" t="s">
        <v>88</v>
      </c>
      <c r="O11" s="147">
        <v>48.625</v>
      </c>
      <c r="P11" s="197">
        <v>2.0000000000000018E-3</v>
      </c>
      <c r="Q11" s="197">
        <v>1.2E-2</v>
      </c>
      <c r="R11" s="197">
        <v>2.4E-2</v>
      </c>
      <c r="S11" s="197">
        <v>3.2000000000000001E-2</v>
      </c>
    </row>
    <row r="12" spans="1:19" ht="14.25" customHeight="1">
      <c r="A12" s="172" t="s">
        <v>94</v>
      </c>
      <c r="B12" s="41" t="s">
        <v>89</v>
      </c>
      <c r="C12" s="102" t="s">
        <v>131</v>
      </c>
      <c r="D12" s="92">
        <v>-49.381347685025794</v>
      </c>
      <c r="E12" s="92">
        <v>-20.812636500000004</v>
      </c>
      <c r="F12" s="172">
        <v>2009</v>
      </c>
      <c r="G12" s="175" t="s">
        <v>90</v>
      </c>
      <c r="H12" s="172" t="s">
        <v>177</v>
      </c>
      <c r="I12" s="41" t="s">
        <v>91</v>
      </c>
      <c r="J12" s="172" t="s">
        <v>81</v>
      </c>
      <c r="K12" s="102">
        <v>1200</v>
      </c>
      <c r="L12" s="206">
        <v>1.2E-2</v>
      </c>
      <c r="M12" s="206" t="s">
        <v>80</v>
      </c>
      <c r="N12" s="206" t="s">
        <v>88</v>
      </c>
      <c r="O12" s="147">
        <v>64.424999999999997</v>
      </c>
      <c r="P12" s="197">
        <v>1.9999999999999983E-3</v>
      </c>
      <c r="Q12" s="197">
        <v>9.9500000000000005E-3</v>
      </c>
      <c r="R12" s="197">
        <v>2.5999999999999999E-2</v>
      </c>
      <c r="S12" s="197">
        <v>3.7999999999999999E-2</v>
      </c>
    </row>
    <row r="13" spans="1:19" ht="14.25" customHeight="1">
      <c r="A13" s="172" t="s">
        <v>94</v>
      </c>
      <c r="B13" s="41" t="s">
        <v>89</v>
      </c>
      <c r="C13" s="102" t="s">
        <v>113</v>
      </c>
      <c r="D13" s="92">
        <v>-45.402680140543957</v>
      </c>
      <c r="E13" s="92">
        <v>-23.806687652148753</v>
      </c>
      <c r="F13" s="172">
        <v>2009</v>
      </c>
      <c r="G13" s="175" t="s">
        <v>90</v>
      </c>
      <c r="H13" s="172" t="s">
        <v>177</v>
      </c>
      <c r="I13" s="41" t="s">
        <v>91</v>
      </c>
      <c r="J13" s="172" t="s">
        <v>81</v>
      </c>
      <c r="K13" s="102">
        <v>1200</v>
      </c>
      <c r="L13" s="206">
        <v>1.2E-2</v>
      </c>
      <c r="M13" s="206" t="s">
        <v>80</v>
      </c>
      <c r="N13" s="206" t="s">
        <v>88</v>
      </c>
      <c r="O13" s="147">
        <v>55.862499999999997</v>
      </c>
      <c r="P13" s="197">
        <v>1.9999999999999983E-3</v>
      </c>
      <c r="Q13" s="197">
        <v>1.0999999999999999E-2</v>
      </c>
      <c r="R13" s="197">
        <v>2.3E-2</v>
      </c>
      <c r="S13" s="197">
        <v>0.03</v>
      </c>
    </row>
    <row r="14" spans="1:19" ht="14.25" customHeight="1">
      <c r="A14" s="172" t="s">
        <v>94</v>
      </c>
      <c r="B14" s="41" t="s">
        <v>89</v>
      </c>
      <c r="C14" s="102" t="s">
        <v>114</v>
      </c>
      <c r="D14" s="92">
        <v>-47.457853253204043</v>
      </c>
      <c r="E14" s="92">
        <v>-23.499323</v>
      </c>
      <c r="F14" s="172">
        <v>2009</v>
      </c>
      <c r="G14" s="175" t="s">
        <v>90</v>
      </c>
      <c r="H14" s="172" t="s">
        <v>177</v>
      </c>
      <c r="I14" s="41" t="s">
        <v>91</v>
      </c>
      <c r="J14" s="172" t="s">
        <v>81</v>
      </c>
      <c r="K14" s="102">
        <v>1200</v>
      </c>
      <c r="L14" s="206">
        <v>1.2E-2</v>
      </c>
      <c r="M14" s="206" t="s">
        <v>80</v>
      </c>
      <c r="N14" s="206" t="s">
        <v>88</v>
      </c>
      <c r="O14" s="147">
        <v>76.875</v>
      </c>
      <c r="P14" s="197">
        <v>5.0000000000000044E-4</v>
      </c>
      <c r="Q14" s="197">
        <v>8.2000000000000007E-3</v>
      </c>
      <c r="R14" s="197">
        <v>1.95E-2</v>
      </c>
      <c r="S14" s="197">
        <v>2.8000000000000001E-2</v>
      </c>
    </row>
    <row r="15" spans="1:19" ht="14.25" customHeight="1">
      <c r="A15" s="172" t="s">
        <v>94</v>
      </c>
      <c r="B15" s="41" t="s">
        <v>89</v>
      </c>
      <c r="C15" s="102" t="s">
        <v>146</v>
      </c>
      <c r="D15" s="92">
        <v>-54.58710248860465</v>
      </c>
      <c r="E15" s="92">
        <v>-25.542493279529253</v>
      </c>
      <c r="F15" s="172">
        <v>2009</v>
      </c>
      <c r="G15" s="175" t="s">
        <v>90</v>
      </c>
      <c r="H15" s="172" t="s">
        <v>177</v>
      </c>
      <c r="I15" s="41" t="s">
        <v>91</v>
      </c>
      <c r="J15" s="172" t="s">
        <v>81</v>
      </c>
      <c r="K15" s="102">
        <v>900</v>
      </c>
      <c r="L15" s="206">
        <v>1.2E-2</v>
      </c>
      <c r="M15" s="206" t="s">
        <v>80</v>
      </c>
      <c r="N15" s="206" t="s">
        <v>88</v>
      </c>
      <c r="O15" s="147">
        <v>82</v>
      </c>
      <c r="P15" s="197">
        <v>1.9999999999999983E-3</v>
      </c>
      <c r="Q15" s="197">
        <v>7.3000000000000001E-3</v>
      </c>
      <c r="R15" s="197">
        <v>1.9E-2</v>
      </c>
      <c r="S15" s="197">
        <v>2.7E-2</v>
      </c>
    </row>
    <row r="16" spans="1:19" s="201" customFormat="1" ht="14.25" customHeight="1">
      <c r="A16" s="41" t="s">
        <v>94</v>
      </c>
      <c r="B16" s="41" t="s">
        <v>89</v>
      </c>
      <c r="C16" s="102" t="s">
        <v>138</v>
      </c>
      <c r="D16" s="92">
        <v>-51.939881870252066</v>
      </c>
      <c r="E16" s="92">
        <v>-23.422280000000004</v>
      </c>
      <c r="F16" s="172">
        <v>2009</v>
      </c>
      <c r="G16" s="175" t="s">
        <v>90</v>
      </c>
      <c r="H16" s="41" t="s">
        <v>177</v>
      </c>
      <c r="I16" s="41" t="s">
        <v>91</v>
      </c>
      <c r="J16" s="41" t="s">
        <v>81</v>
      </c>
      <c r="K16" s="102">
        <v>1200</v>
      </c>
      <c r="L16" s="102">
        <v>1.2E-2</v>
      </c>
      <c r="M16" s="102" t="s">
        <v>80</v>
      </c>
      <c r="N16" s="102" t="s">
        <v>88</v>
      </c>
      <c r="O16" s="147">
        <v>68.525000000000006</v>
      </c>
      <c r="P16" s="197">
        <v>2.2800000000000001E-2</v>
      </c>
      <c r="Q16" s="197">
        <v>5.3E-3</v>
      </c>
      <c r="R16" s="197">
        <v>2.5000000000000001E-2</v>
      </c>
      <c r="S16" s="197">
        <v>4.7E-2</v>
      </c>
    </row>
    <row r="17" spans="1:19" ht="14.25" customHeight="1">
      <c r="A17" s="172" t="s">
        <v>94</v>
      </c>
      <c r="B17" s="41" t="s">
        <v>89</v>
      </c>
      <c r="C17" s="102" t="s">
        <v>153</v>
      </c>
      <c r="D17" s="92">
        <v>-48.208705251855818</v>
      </c>
      <c r="E17" s="92">
        <v>-7.191328939654956</v>
      </c>
      <c r="F17" s="172">
        <v>2009</v>
      </c>
      <c r="G17" s="175" t="s">
        <v>90</v>
      </c>
      <c r="H17" s="172" t="s">
        <v>177</v>
      </c>
      <c r="I17" s="41" t="s">
        <v>91</v>
      </c>
      <c r="J17" s="41" t="s">
        <v>81</v>
      </c>
      <c r="K17" s="206">
        <v>1200</v>
      </c>
      <c r="L17" s="102">
        <v>1.2E-2</v>
      </c>
      <c r="M17" s="206" t="s">
        <v>80</v>
      </c>
      <c r="N17" s="206" t="s">
        <v>88</v>
      </c>
      <c r="O17" s="207">
        <v>7.7750000000000004</v>
      </c>
      <c r="P17" s="197">
        <v>3.9999999999999966E-3</v>
      </c>
      <c r="Q17" s="197">
        <v>2.9000000000000001E-2</v>
      </c>
      <c r="R17" s="197">
        <v>6.2E-2</v>
      </c>
      <c r="S17" s="197">
        <v>8.5999999999999993E-2</v>
      </c>
    </row>
    <row r="18" spans="1:19" ht="14.25" customHeight="1">
      <c r="A18" s="172" t="s">
        <v>94</v>
      </c>
      <c r="B18" s="41" t="s">
        <v>89</v>
      </c>
      <c r="C18" s="102" t="s">
        <v>139</v>
      </c>
      <c r="D18" s="92">
        <v>-48.351043708246195</v>
      </c>
      <c r="E18" s="92">
        <v>-10.16325332679275</v>
      </c>
      <c r="F18" s="172">
        <v>2009</v>
      </c>
      <c r="G18" s="175" t="s">
        <v>90</v>
      </c>
      <c r="H18" s="172" t="s">
        <v>177</v>
      </c>
      <c r="I18" s="41" t="s">
        <v>91</v>
      </c>
      <c r="J18" s="41" t="s">
        <v>81</v>
      </c>
      <c r="K18" s="102">
        <v>1500</v>
      </c>
      <c r="L18" s="102">
        <v>1.2E-2</v>
      </c>
      <c r="M18" s="206" t="s">
        <v>80</v>
      </c>
      <c r="N18" s="102" t="s">
        <v>88</v>
      </c>
      <c r="O18" s="207">
        <v>26.82</v>
      </c>
      <c r="P18" s="197">
        <v>3.0000000000000027E-3</v>
      </c>
      <c r="Q18" s="197">
        <v>1.9E-2</v>
      </c>
      <c r="R18" s="197">
        <v>3.9E-2</v>
      </c>
      <c r="S18" s="197">
        <v>5.1999999999999998E-2</v>
      </c>
    </row>
    <row r="19" spans="1:19" ht="14.25" customHeight="1">
      <c r="A19" s="172" t="s">
        <v>94</v>
      </c>
      <c r="B19" s="41" t="s">
        <v>89</v>
      </c>
      <c r="C19" s="41" t="s">
        <v>154</v>
      </c>
      <c r="D19" s="92">
        <v>-48.037211274124623</v>
      </c>
      <c r="E19" s="92">
        <v>-16.056078214198152</v>
      </c>
      <c r="F19" s="172">
        <v>2009</v>
      </c>
      <c r="G19" s="175" t="s">
        <v>90</v>
      </c>
      <c r="H19" s="172" t="s">
        <v>177</v>
      </c>
      <c r="I19" s="41" t="s">
        <v>91</v>
      </c>
      <c r="J19" s="41" t="s">
        <v>81</v>
      </c>
      <c r="K19" s="102">
        <v>1200</v>
      </c>
      <c r="L19" s="102">
        <v>1.2E-2</v>
      </c>
      <c r="M19" s="206" t="s">
        <v>80</v>
      </c>
      <c r="N19" s="102" t="s">
        <v>88</v>
      </c>
      <c r="O19" s="207">
        <v>70.424999999999997</v>
      </c>
      <c r="P19" s="197">
        <v>9.9999999999999742E-4</v>
      </c>
      <c r="Q19" s="197">
        <v>8.9999999999999993E-3</v>
      </c>
      <c r="R19" s="197">
        <v>2.1999999999999999E-2</v>
      </c>
      <c r="S19" s="197">
        <v>3.2000000000000001E-2</v>
      </c>
    </row>
    <row r="20" spans="1:19" ht="14.25" customHeight="1">
      <c r="A20" s="172" t="s">
        <v>94</v>
      </c>
      <c r="B20" s="41" t="s">
        <v>89</v>
      </c>
      <c r="C20" s="102" t="s">
        <v>144</v>
      </c>
      <c r="D20" s="92">
        <v>-47.887905478031342</v>
      </c>
      <c r="E20" s="92">
        <v>-15.794087361891002</v>
      </c>
      <c r="F20" s="172">
        <v>2009</v>
      </c>
      <c r="G20" s="175" t="s">
        <v>90</v>
      </c>
      <c r="H20" s="172" t="s">
        <v>177</v>
      </c>
      <c r="I20" s="41" t="s">
        <v>91</v>
      </c>
      <c r="J20" s="41" t="s">
        <v>81</v>
      </c>
      <c r="K20" s="102">
        <v>1500</v>
      </c>
      <c r="L20" s="102">
        <v>1.2E-2</v>
      </c>
      <c r="M20" s="206" t="s">
        <v>80</v>
      </c>
      <c r="N20" s="102" t="s">
        <v>88</v>
      </c>
      <c r="O20" s="207">
        <v>53.6</v>
      </c>
      <c r="P20" s="197">
        <v>1.9999999999999983E-3</v>
      </c>
      <c r="Q20" s="197">
        <v>1.2999999999999999E-2</v>
      </c>
      <c r="R20" s="197">
        <v>2.7E-2</v>
      </c>
      <c r="S20" s="197">
        <v>3.5999999999999997E-2</v>
      </c>
    </row>
    <row r="21" spans="1:19" ht="14.25" customHeight="1">
      <c r="A21" s="172" t="s">
        <v>94</v>
      </c>
      <c r="B21" s="41" t="s">
        <v>89</v>
      </c>
      <c r="C21" s="102" t="s">
        <v>155</v>
      </c>
      <c r="D21" s="92">
        <v>-47.614846766150798</v>
      </c>
      <c r="E21" s="92">
        <v>-15.453109564974401</v>
      </c>
      <c r="F21" s="172">
        <v>2009</v>
      </c>
      <c r="G21" s="175" t="s">
        <v>90</v>
      </c>
      <c r="H21" s="172" t="s">
        <v>177</v>
      </c>
      <c r="I21" s="41" t="s">
        <v>91</v>
      </c>
      <c r="J21" s="41" t="s">
        <v>81</v>
      </c>
      <c r="K21" s="102">
        <v>1200</v>
      </c>
      <c r="L21" s="102">
        <v>1.2E-2</v>
      </c>
      <c r="M21" s="206" t="s">
        <v>80</v>
      </c>
      <c r="N21" s="102" t="s">
        <v>88</v>
      </c>
      <c r="O21" s="207">
        <v>71.774999999999991</v>
      </c>
      <c r="P21" s="197">
        <v>1.0000000000000009E-3</v>
      </c>
      <c r="Q21" s="197">
        <v>9.5999999999999992E-3</v>
      </c>
      <c r="R21" s="197">
        <v>0.02</v>
      </c>
      <c r="S21" s="197">
        <v>2.8000000000000001E-2</v>
      </c>
    </row>
    <row r="22" spans="1:19" ht="14.25" customHeight="1">
      <c r="A22" s="172" t="s">
        <v>94</v>
      </c>
      <c r="B22" s="41" t="s">
        <v>89</v>
      </c>
      <c r="C22" s="102" t="s">
        <v>132</v>
      </c>
      <c r="D22" s="228">
        <v>-47.776090000000003</v>
      </c>
      <c r="E22" s="228">
        <v>-15.90288</v>
      </c>
      <c r="F22" s="172">
        <v>2009</v>
      </c>
      <c r="G22" s="175" t="s">
        <v>90</v>
      </c>
      <c r="H22" s="172" t="s">
        <v>177</v>
      </c>
      <c r="I22" s="41" t="s">
        <v>91</v>
      </c>
      <c r="J22" s="41" t="s">
        <v>81</v>
      </c>
      <c r="K22" s="102">
        <v>1200</v>
      </c>
      <c r="L22" s="102">
        <v>1.2E-2</v>
      </c>
      <c r="M22" s="206" t="s">
        <v>80</v>
      </c>
      <c r="N22" s="102" t="s">
        <v>88</v>
      </c>
      <c r="O22" s="207">
        <v>89.224999999999994</v>
      </c>
      <c r="P22" s="197">
        <v>1E-3</v>
      </c>
      <c r="Q22" s="197">
        <v>7.1999999999999998E-3</v>
      </c>
      <c r="R22" s="197">
        <v>1.4E-2</v>
      </c>
      <c r="S22" s="197">
        <v>1.9E-2</v>
      </c>
    </row>
    <row r="23" spans="1:19" ht="14.25" customHeight="1">
      <c r="A23" s="172" t="s">
        <v>94</v>
      </c>
      <c r="B23" s="41" t="s">
        <v>89</v>
      </c>
      <c r="C23" s="41" t="s">
        <v>143</v>
      </c>
      <c r="D23" s="92">
        <v>-40.791594846362379</v>
      </c>
      <c r="E23" s="92">
        <v>-9.4708066384999352</v>
      </c>
      <c r="F23" s="172">
        <v>2009</v>
      </c>
      <c r="G23" s="175" t="s">
        <v>90</v>
      </c>
      <c r="H23" s="172" t="s">
        <v>177</v>
      </c>
      <c r="I23" s="41" t="s">
        <v>91</v>
      </c>
      <c r="J23" s="41" t="s">
        <v>81</v>
      </c>
      <c r="K23" s="102">
        <v>1500</v>
      </c>
      <c r="L23" s="102">
        <v>1.2E-2</v>
      </c>
      <c r="M23" s="206" t="s">
        <v>80</v>
      </c>
      <c r="N23" s="102" t="s">
        <v>88</v>
      </c>
      <c r="O23" s="207">
        <v>82.18</v>
      </c>
      <c r="P23" s="197">
        <v>1.0000000000000009E-3</v>
      </c>
      <c r="Q23" s="197">
        <v>8.2000000000000007E-3</v>
      </c>
      <c r="R23" s="197">
        <v>1.6E-2</v>
      </c>
      <c r="S23" s="197">
        <v>2.1000000000000001E-2</v>
      </c>
    </row>
    <row r="24" spans="1:19" ht="14.25" customHeight="1">
      <c r="A24" s="172" t="s">
        <v>94</v>
      </c>
      <c r="B24" s="41" t="s">
        <v>89</v>
      </c>
      <c r="C24" s="102" t="s">
        <v>148</v>
      </c>
      <c r="D24" s="92">
        <v>-45.004168437028525</v>
      </c>
      <c r="E24" s="92">
        <v>-12.144924888390602</v>
      </c>
      <c r="F24" s="172">
        <v>2009</v>
      </c>
      <c r="G24" s="175" t="s">
        <v>90</v>
      </c>
      <c r="H24" s="172" t="s">
        <v>177</v>
      </c>
      <c r="I24" s="41" t="s">
        <v>91</v>
      </c>
      <c r="J24" s="41" t="s">
        <v>81</v>
      </c>
      <c r="K24" s="102">
        <v>1200</v>
      </c>
      <c r="L24" s="102">
        <v>1.2E-2</v>
      </c>
      <c r="M24" s="206" t="s">
        <v>80</v>
      </c>
      <c r="N24" s="102" t="s">
        <v>88</v>
      </c>
      <c r="O24" s="207">
        <v>52.449999999999996</v>
      </c>
      <c r="P24" s="243">
        <v>1.0000000000000009E-3</v>
      </c>
      <c r="Q24" s="197">
        <v>1.2E-2</v>
      </c>
      <c r="R24" s="197">
        <v>2.4E-2</v>
      </c>
      <c r="S24" s="197">
        <v>3.3000000000000002E-2</v>
      </c>
    </row>
    <row r="25" spans="1:19" ht="14.25" customHeight="1">
      <c r="A25" s="172" t="s">
        <v>94</v>
      </c>
      <c r="B25" s="41" t="s">
        <v>89</v>
      </c>
      <c r="C25" s="41" t="s">
        <v>156</v>
      </c>
      <c r="D25" s="92">
        <v>-39.043184286942569</v>
      </c>
      <c r="E25" s="92">
        <v>-14.793320269725204</v>
      </c>
      <c r="F25" s="172">
        <v>2009</v>
      </c>
      <c r="G25" s="175" t="s">
        <v>90</v>
      </c>
      <c r="H25" s="41" t="s">
        <v>177</v>
      </c>
      <c r="I25" s="41" t="s">
        <v>91</v>
      </c>
      <c r="J25" s="41" t="s">
        <v>81</v>
      </c>
      <c r="K25" s="102">
        <v>1200</v>
      </c>
      <c r="L25" s="102">
        <v>1.2E-2</v>
      </c>
      <c r="M25" s="206" t="s">
        <v>80</v>
      </c>
      <c r="N25" s="102" t="s">
        <v>88</v>
      </c>
      <c r="O25" s="207">
        <v>5.9666666666666677</v>
      </c>
      <c r="P25" s="243">
        <v>5.0000000000000044E-3</v>
      </c>
      <c r="Q25" s="197">
        <v>3.1E-2</v>
      </c>
      <c r="R25" s="197">
        <v>6.8000000000000005E-2</v>
      </c>
      <c r="S25" s="197">
        <v>9.4E-2</v>
      </c>
    </row>
    <row r="26" spans="1:19" ht="14.25" customHeight="1">
      <c r="A26" s="172" t="s">
        <v>94</v>
      </c>
      <c r="B26" s="41" t="s">
        <v>89</v>
      </c>
      <c r="C26" s="41" t="s">
        <v>157</v>
      </c>
      <c r="D26" s="92">
        <v>-40.088607327476304</v>
      </c>
      <c r="E26" s="92">
        <v>-13.855664007664052</v>
      </c>
      <c r="F26" s="172">
        <v>2009</v>
      </c>
      <c r="G26" s="175" t="s">
        <v>90</v>
      </c>
      <c r="H26" s="172" t="s">
        <v>177</v>
      </c>
      <c r="I26" s="41" t="s">
        <v>91</v>
      </c>
      <c r="J26" s="41" t="s">
        <v>81</v>
      </c>
      <c r="K26" s="102">
        <v>1200</v>
      </c>
      <c r="L26" s="102">
        <v>1.2E-2</v>
      </c>
      <c r="M26" s="206" t="s">
        <v>80</v>
      </c>
      <c r="N26" s="102" t="s">
        <v>88</v>
      </c>
      <c r="O26" s="207">
        <v>0</v>
      </c>
      <c r="P26" s="243">
        <v>2.9999999999999971E-2</v>
      </c>
      <c r="Q26" s="197">
        <v>0.12</v>
      </c>
      <c r="R26" s="197">
        <v>0.31</v>
      </c>
      <c r="S26" s="197">
        <v>0.46</v>
      </c>
    </row>
    <row r="27" spans="1:19" ht="14.25" customHeight="1" thickBot="1">
      <c r="A27" s="167" t="s">
        <v>94</v>
      </c>
      <c r="B27" s="167" t="s">
        <v>89</v>
      </c>
      <c r="C27" s="167" t="s">
        <v>149</v>
      </c>
      <c r="D27" s="93">
        <v>-40.513017627870106</v>
      </c>
      <c r="E27" s="93">
        <v>-11.185062160141854</v>
      </c>
      <c r="F27" s="167">
        <v>2009</v>
      </c>
      <c r="G27" s="176" t="s">
        <v>90</v>
      </c>
      <c r="H27" s="167" t="s">
        <v>177</v>
      </c>
      <c r="I27" s="167" t="s">
        <v>91</v>
      </c>
      <c r="J27" s="167" t="s">
        <v>81</v>
      </c>
      <c r="K27" s="104">
        <v>600</v>
      </c>
      <c r="L27" s="104">
        <v>1.2E-2</v>
      </c>
      <c r="M27" s="104" t="s">
        <v>80</v>
      </c>
      <c r="N27" s="104" t="s">
        <v>88</v>
      </c>
      <c r="O27" s="177">
        <v>0.85</v>
      </c>
      <c r="P27" s="208">
        <v>8.0000000000000016E-2</v>
      </c>
      <c r="Q27" s="208">
        <v>9.0999999999999998E-2</v>
      </c>
      <c r="R27" s="208">
        <v>0.5</v>
      </c>
      <c r="S27" s="208">
        <v>1</v>
      </c>
    </row>
    <row r="28" spans="1:19" ht="14.25" customHeight="1">
      <c r="A28" s="172" t="s">
        <v>94</v>
      </c>
      <c r="B28" s="41" t="s">
        <v>89</v>
      </c>
      <c r="C28" s="205" t="s">
        <v>124</v>
      </c>
      <c r="D28" s="268"/>
      <c r="E28" s="269"/>
      <c r="F28" s="172">
        <v>2009</v>
      </c>
      <c r="G28" s="175" t="s">
        <v>90</v>
      </c>
      <c r="H28" s="41" t="s">
        <v>177</v>
      </c>
      <c r="I28" s="41" t="s">
        <v>91</v>
      </c>
      <c r="J28" s="102" t="s">
        <v>92</v>
      </c>
      <c r="K28" s="102">
        <v>1200</v>
      </c>
      <c r="L28" s="102">
        <v>0.01</v>
      </c>
      <c r="M28" s="206" t="s">
        <v>80</v>
      </c>
      <c r="N28" s="102" t="s">
        <v>88</v>
      </c>
      <c r="O28" s="209">
        <v>100</v>
      </c>
      <c r="P28" s="174">
        <v>2.0000000000000009E-4</v>
      </c>
      <c r="Q28" s="197">
        <v>2.2000000000000001E-3</v>
      </c>
      <c r="R28" s="197">
        <v>3.2000000000000002E-3</v>
      </c>
      <c r="S28" s="197">
        <v>3.7000000000000002E-3</v>
      </c>
    </row>
    <row r="29" spans="1:19" ht="14.25" customHeight="1">
      <c r="A29" s="172" t="s">
        <v>94</v>
      </c>
      <c r="B29" s="41" t="s">
        <v>89</v>
      </c>
      <c r="C29" s="172" t="s">
        <v>100</v>
      </c>
      <c r="D29" s="92">
        <v>-50.439226072752582</v>
      </c>
      <c r="E29" s="92">
        <v>-21.205476000000004</v>
      </c>
      <c r="F29" s="172">
        <v>2009</v>
      </c>
      <c r="G29" s="175" t="s">
        <v>90</v>
      </c>
      <c r="H29" s="41" t="s">
        <v>177</v>
      </c>
      <c r="I29" s="41" t="s">
        <v>91</v>
      </c>
      <c r="J29" s="102" t="s">
        <v>92</v>
      </c>
      <c r="K29" s="102">
        <v>1200</v>
      </c>
      <c r="L29" s="102">
        <v>0.01</v>
      </c>
      <c r="M29" s="206" t="s">
        <v>80</v>
      </c>
      <c r="N29" s="102" t="s">
        <v>88</v>
      </c>
      <c r="O29" s="207">
        <v>97</v>
      </c>
      <c r="P29" s="197">
        <v>5.9999999999999984E-4</v>
      </c>
      <c r="Q29" s="197">
        <v>4.7000000000000002E-3</v>
      </c>
      <c r="R29" s="197">
        <v>0.01</v>
      </c>
      <c r="S29" s="197">
        <v>1.4E-2</v>
      </c>
    </row>
    <row r="30" spans="1:19" ht="14.25" customHeight="1">
      <c r="A30" s="172" t="s">
        <v>94</v>
      </c>
      <c r="B30" s="41" t="s">
        <v>89</v>
      </c>
      <c r="C30" s="102" t="s">
        <v>101</v>
      </c>
      <c r="D30" s="92">
        <v>-48.567377839455055</v>
      </c>
      <c r="E30" s="92">
        <v>-20.558455515000002</v>
      </c>
      <c r="F30" s="172">
        <v>2009</v>
      </c>
      <c r="G30" s="175" t="s">
        <v>90</v>
      </c>
      <c r="H30" s="172" t="s">
        <v>177</v>
      </c>
      <c r="I30" s="41" t="s">
        <v>91</v>
      </c>
      <c r="J30" s="102" t="s">
        <v>92</v>
      </c>
      <c r="K30" s="102">
        <v>1200</v>
      </c>
      <c r="L30" s="102">
        <v>0.01</v>
      </c>
      <c r="M30" s="206" t="s">
        <v>80</v>
      </c>
      <c r="N30" s="102" t="s">
        <v>88</v>
      </c>
      <c r="O30" s="207">
        <v>86.174999999999983</v>
      </c>
      <c r="P30" s="197">
        <v>9.9999999999999915E-4</v>
      </c>
      <c r="Q30" s="197">
        <v>6.1000000000000004E-3</v>
      </c>
      <c r="R30" s="197">
        <v>1.2999999999999999E-2</v>
      </c>
      <c r="S30" s="197">
        <v>1.7999999999999999E-2</v>
      </c>
    </row>
    <row r="31" spans="1:19" s="201" customFormat="1" ht="14.25" customHeight="1">
      <c r="A31" s="172" t="s">
        <v>94</v>
      </c>
      <c r="B31" s="41" t="s">
        <v>89</v>
      </c>
      <c r="C31" s="41" t="s">
        <v>102</v>
      </c>
      <c r="D31" s="92">
        <v>-49.083000867090362</v>
      </c>
      <c r="E31" s="92">
        <v>-22.325122500000006</v>
      </c>
      <c r="F31" s="172">
        <v>2009</v>
      </c>
      <c r="G31" s="175" t="s">
        <v>90</v>
      </c>
      <c r="H31" s="41" t="s">
        <v>177</v>
      </c>
      <c r="I31" s="41" t="s">
        <v>91</v>
      </c>
      <c r="J31" s="102" t="s">
        <v>92</v>
      </c>
      <c r="K31" s="102">
        <v>1200</v>
      </c>
      <c r="L31" s="102">
        <v>0.01</v>
      </c>
      <c r="M31" s="206" t="s">
        <v>80</v>
      </c>
      <c r="N31" s="102" t="s">
        <v>88</v>
      </c>
      <c r="O31" s="147">
        <v>95.699999999999989</v>
      </c>
      <c r="P31" s="197">
        <v>3.9999999999999931E-4</v>
      </c>
      <c r="Q31" s="197">
        <v>5.0000000000000001E-3</v>
      </c>
      <c r="R31" s="197">
        <v>9.7999999999999997E-3</v>
      </c>
      <c r="S31" s="197">
        <v>1.2999999999999999E-2</v>
      </c>
    </row>
    <row r="32" spans="1:19" ht="14.25" customHeight="1">
      <c r="A32" s="172" t="s">
        <v>94</v>
      </c>
      <c r="B32" s="41" t="s">
        <v>89</v>
      </c>
      <c r="C32" s="102" t="s">
        <v>104</v>
      </c>
      <c r="D32" s="92">
        <v>-48.441289384350434</v>
      </c>
      <c r="E32" s="92">
        <v>-22.888381500000008</v>
      </c>
      <c r="F32" s="172">
        <v>2009</v>
      </c>
      <c r="G32" s="175" t="s">
        <v>90</v>
      </c>
      <c r="H32" s="41" t="s">
        <v>177</v>
      </c>
      <c r="I32" s="41" t="s">
        <v>91</v>
      </c>
      <c r="J32" s="102" t="s">
        <v>92</v>
      </c>
      <c r="K32" s="206">
        <v>1200</v>
      </c>
      <c r="L32" s="102">
        <v>0.01</v>
      </c>
      <c r="M32" s="206" t="s">
        <v>80</v>
      </c>
      <c r="N32" s="102" t="s">
        <v>88</v>
      </c>
      <c r="O32" s="147">
        <v>97.65</v>
      </c>
      <c r="P32" s="197">
        <v>2.9999999999999992E-4</v>
      </c>
      <c r="Q32" s="197">
        <v>4.7000000000000002E-3</v>
      </c>
      <c r="R32" s="197">
        <v>8.6E-3</v>
      </c>
      <c r="S32" s="197">
        <v>1.0999999999999999E-2</v>
      </c>
    </row>
    <row r="33" spans="1:19" ht="14.25" customHeight="1">
      <c r="A33" s="172" t="s">
        <v>94</v>
      </c>
      <c r="B33" s="41" t="s">
        <v>89</v>
      </c>
      <c r="C33" s="102" t="s">
        <v>106</v>
      </c>
      <c r="D33" s="92">
        <v>-46.933372863488053</v>
      </c>
      <c r="E33" s="92">
        <v>-23.546934000000004</v>
      </c>
      <c r="F33" s="172">
        <v>2009</v>
      </c>
      <c r="G33" s="175" t="s">
        <v>90</v>
      </c>
      <c r="H33" s="41" t="s">
        <v>177</v>
      </c>
      <c r="I33" s="41" t="s">
        <v>91</v>
      </c>
      <c r="J33" s="102" t="s">
        <v>92</v>
      </c>
      <c r="K33" s="206">
        <v>1200</v>
      </c>
      <c r="L33" s="102">
        <v>0.01</v>
      </c>
      <c r="M33" s="206" t="s">
        <v>80</v>
      </c>
      <c r="N33" s="102" t="s">
        <v>88</v>
      </c>
      <c r="O33" s="207">
        <v>97.15</v>
      </c>
      <c r="P33" s="197">
        <v>9.9999999999999395E-5</v>
      </c>
      <c r="Q33" s="197">
        <v>5.0000000000000001E-3</v>
      </c>
      <c r="R33" s="197">
        <v>8.9999999999999993E-3</v>
      </c>
      <c r="S33" s="197">
        <v>1.2E-2</v>
      </c>
    </row>
    <row r="34" spans="1:19" ht="14.25" customHeight="1">
      <c r="A34" s="172" t="s">
        <v>94</v>
      </c>
      <c r="B34" s="41" t="s">
        <v>89</v>
      </c>
      <c r="C34" s="102" t="s">
        <v>107</v>
      </c>
      <c r="D34" s="92">
        <v>-49.951645643103269</v>
      </c>
      <c r="E34" s="92">
        <v>-22.214933000000002</v>
      </c>
      <c r="F34" s="172">
        <v>2009</v>
      </c>
      <c r="G34" s="175" t="s">
        <v>90</v>
      </c>
      <c r="H34" s="41" t="s">
        <v>177</v>
      </c>
      <c r="I34" s="41" t="s">
        <v>91</v>
      </c>
      <c r="J34" s="102" t="s">
        <v>92</v>
      </c>
      <c r="K34" s="206">
        <v>1200</v>
      </c>
      <c r="L34" s="102">
        <v>0.01</v>
      </c>
      <c r="M34" s="206" t="s">
        <v>80</v>
      </c>
      <c r="N34" s="102" t="s">
        <v>88</v>
      </c>
      <c r="O34" s="207">
        <v>94.424999999999997</v>
      </c>
      <c r="P34" s="197">
        <v>2.0000000000000052E-4</v>
      </c>
      <c r="Q34" s="197">
        <v>5.4000000000000003E-3</v>
      </c>
      <c r="R34" s="197">
        <v>0.01</v>
      </c>
      <c r="S34" s="197">
        <v>1.2999999999999999E-2</v>
      </c>
    </row>
    <row r="35" spans="1:19" ht="14.25" customHeight="1">
      <c r="A35" s="172" t="s">
        <v>94</v>
      </c>
      <c r="B35" s="41" t="s">
        <v>89</v>
      </c>
      <c r="C35" s="102" t="s">
        <v>108</v>
      </c>
      <c r="D35" s="92">
        <v>-51.386765581912492</v>
      </c>
      <c r="E35" s="92">
        <v>-22.122743500000002</v>
      </c>
      <c r="F35" s="172">
        <v>2009</v>
      </c>
      <c r="G35" s="175" t="s">
        <v>90</v>
      </c>
      <c r="H35" s="41" t="s">
        <v>177</v>
      </c>
      <c r="I35" s="41" t="s">
        <v>91</v>
      </c>
      <c r="J35" s="102" t="s">
        <v>92</v>
      </c>
      <c r="K35" s="206">
        <v>1200</v>
      </c>
      <c r="L35" s="102">
        <v>0.01</v>
      </c>
      <c r="M35" s="206" t="s">
        <v>80</v>
      </c>
      <c r="N35" s="102" t="s">
        <v>88</v>
      </c>
      <c r="O35" s="207">
        <v>89.275000000000006</v>
      </c>
      <c r="P35" s="197">
        <v>1.0000000000000009E-3</v>
      </c>
      <c r="Q35" s="197">
        <v>5.7999999999999996E-3</v>
      </c>
      <c r="R35" s="197">
        <v>1.2E-2</v>
      </c>
      <c r="S35" s="197">
        <v>1.6E-2</v>
      </c>
    </row>
    <row r="36" spans="1:19" ht="14.25" customHeight="1">
      <c r="A36" s="172" t="s">
        <v>94</v>
      </c>
      <c r="B36" s="41" t="s">
        <v>89</v>
      </c>
      <c r="C36" s="102" t="s">
        <v>109</v>
      </c>
      <c r="D36" s="92">
        <v>-47.805475915541528</v>
      </c>
      <c r="E36" s="92">
        <v>-21.184834500000004</v>
      </c>
      <c r="F36" s="172">
        <v>2009</v>
      </c>
      <c r="G36" s="175" t="s">
        <v>90</v>
      </c>
      <c r="H36" s="41" t="s">
        <v>177</v>
      </c>
      <c r="I36" s="41" t="s">
        <v>91</v>
      </c>
      <c r="J36" s="102" t="s">
        <v>92</v>
      </c>
      <c r="K36" s="206">
        <v>1200</v>
      </c>
      <c r="L36" s="102">
        <v>0.01</v>
      </c>
      <c r="M36" s="206" t="s">
        <v>80</v>
      </c>
      <c r="N36" s="102" t="s">
        <v>88</v>
      </c>
      <c r="O36" s="207">
        <v>93.75</v>
      </c>
      <c r="P36" s="197">
        <v>1E-3</v>
      </c>
      <c r="Q36" s="197">
        <v>7.0000000000000001E-3</v>
      </c>
      <c r="R36" s="197">
        <v>0.01</v>
      </c>
      <c r="S36" s="197">
        <v>1.2E-2</v>
      </c>
    </row>
    <row r="37" spans="1:19" ht="14.25" customHeight="1">
      <c r="A37" s="172" t="s">
        <v>94</v>
      </c>
      <c r="B37" s="41" t="s">
        <v>89</v>
      </c>
      <c r="C37" s="102" t="s">
        <v>152</v>
      </c>
      <c r="D37" s="92">
        <v>-46.331370849190684</v>
      </c>
      <c r="E37" s="92">
        <v>-23.933737500000003</v>
      </c>
      <c r="F37" s="172">
        <v>2009</v>
      </c>
      <c r="G37" s="175" t="s">
        <v>90</v>
      </c>
      <c r="H37" s="41" t="s">
        <v>177</v>
      </c>
      <c r="I37" s="41" t="s">
        <v>91</v>
      </c>
      <c r="J37" s="102" t="s">
        <v>92</v>
      </c>
      <c r="K37" s="206">
        <v>1200</v>
      </c>
      <c r="L37" s="102">
        <v>0.01</v>
      </c>
      <c r="M37" s="206" t="s">
        <v>80</v>
      </c>
      <c r="N37" s="102" t="s">
        <v>88</v>
      </c>
      <c r="O37" s="207">
        <v>91.574999999999989</v>
      </c>
      <c r="P37" s="197">
        <v>1E-3</v>
      </c>
      <c r="Q37" s="197">
        <v>6.0000000000000001E-3</v>
      </c>
      <c r="R37" s="197">
        <v>1.0999999999999999E-2</v>
      </c>
      <c r="S37" s="197">
        <v>1.4999999999999999E-2</v>
      </c>
    </row>
    <row r="38" spans="1:19" ht="14.25" customHeight="1">
      <c r="A38" s="172" t="s">
        <v>94</v>
      </c>
      <c r="B38" s="41" t="s">
        <v>89</v>
      </c>
      <c r="C38" s="102" t="s">
        <v>131</v>
      </c>
      <c r="D38" s="92">
        <v>-49.381347685025794</v>
      </c>
      <c r="E38" s="92">
        <v>-20.812636500000004</v>
      </c>
      <c r="F38" s="172">
        <v>2009</v>
      </c>
      <c r="G38" s="175" t="s">
        <v>90</v>
      </c>
      <c r="H38" s="41" t="s">
        <v>177</v>
      </c>
      <c r="I38" s="41" t="s">
        <v>91</v>
      </c>
      <c r="J38" s="102" t="s">
        <v>92</v>
      </c>
      <c r="K38" s="206">
        <v>1200</v>
      </c>
      <c r="L38" s="102">
        <v>0.01</v>
      </c>
      <c r="M38" s="206" t="s">
        <v>80</v>
      </c>
      <c r="N38" s="102" t="s">
        <v>88</v>
      </c>
      <c r="O38" s="207">
        <v>93.95</v>
      </c>
      <c r="P38" s="197">
        <v>1.1000000000000003E-3</v>
      </c>
      <c r="Q38" s="197">
        <v>5.4999999999999997E-3</v>
      </c>
      <c r="R38" s="197">
        <v>1.11E-2</v>
      </c>
      <c r="S38" s="197">
        <v>1.4999999999999999E-2</v>
      </c>
    </row>
    <row r="39" spans="1:19" ht="14.25" customHeight="1">
      <c r="A39" s="172" t="s">
        <v>94</v>
      </c>
      <c r="B39" s="41" t="s">
        <v>89</v>
      </c>
      <c r="C39" s="102" t="s">
        <v>113</v>
      </c>
      <c r="D39" s="92">
        <v>-45.402680140543957</v>
      </c>
      <c r="E39" s="92">
        <v>-23.806687652148753</v>
      </c>
      <c r="F39" s="172">
        <v>2009</v>
      </c>
      <c r="G39" s="175" t="s">
        <v>90</v>
      </c>
      <c r="H39" s="41" t="s">
        <v>177</v>
      </c>
      <c r="I39" s="41" t="s">
        <v>91</v>
      </c>
      <c r="J39" s="102" t="s">
        <v>92</v>
      </c>
      <c r="K39" s="206">
        <v>1200</v>
      </c>
      <c r="L39" s="102">
        <v>0.01</v>
      </c>
      <c r="M39" s="206" t="s">
        <v>80</v>
      </c>
      <c r="N39" s="102" t="s">
        <v>88</v>
      </c>
      <c r="O39" s="207">
        <v>93.074999999999989</v>
      </c>
      <c r="P39" s="197">
        <v>1E-3</v>
      </c>
      <c r="Q39" s="197">
        <v>6.3E-3</v>
      </c>
      <c r="R39" s="197">
        <v>0.01</v>
      </c>
      <c r="S39" s="197">
        <v>1.2999999999999999E-2</v>
      </c>
    </row>
    <row r="40" spans="1:19" ht="14.25" customHeight="1">
      <c r="A40" s="172" t="s">
        <v>94</v>
      </c>
      <c r="B40" s="41" t="s">
        <v>89</v>
      </c>
      <c r="C40" s="102" t="s">
        <v>114</v>
      </c>
      <c r="D40" s="92">
        <v>-47.457853253204043</v>
      </c>
      <c r="E40" s="92">
        <v>-23.499323</v>
      </c>
      <c r="F40" s="172">
        <v>2009</v>
      </c>
      <c r="G40" s="175" t="s">
        <v>90</v>
      </c>
      <c r="H40" s="41" t="s">
        <v>177</v>
      </c>
      <c r="I40" s="41" t="s">
        <v>91</v>
      </c>
      <c r="J40" s="102" t="s">
        <v>92</v>
      </c>
      <c r="K40" s="206">
        <v>1200</v>
      </c>
      <c r="L40" s="102">
        <v>0.01</v>
      </c>
      <c r="M40" s="206" t="s">
        <v>80</v>
      </c>
      <c r="N40" s="102" t="s">
        <v>88</v>
      </c>
      <c r="O40" s="207">
        <v>97.249999999999986</v>
      </c>
      <c r="P40" s="197">
        <v>3.9999999999999931E-4</v>
      </c>
      <c r="Q40" s="197">
        <v>4.8999999999999998E-3</v>
      </c>
      <c r="R40" s="197">
        <v>8.8999999999999999E-3</v>
      </c>
      <c r="S40" s="197">
        <v>1.0999999999999999E-2</v>
      </c>
    </row>
    <row r="41" spans="1:19" ht="14.25" customHeight="1">
      <c r="A41" s="172" t="s">
        <v>94</v>
      </c>
      <c r="B41" s="41" t="s">
        <v>89</v>
      </c>
      <c r="C41" s="102" t="s">
        <v>146</v>
      </c>
      <c r="D41" s="92">
        <v>-54.58710248860465</v>
      </c>
      <c r="E41" s="92">
        <v>-25.542493279529253</v>
      </c>
      <c r="F41" s="172">
        <v>2009</v>
      </c>
      <c r="G41" s="175" t="s">
        <v>90</v>
      </c>
      <c r="H41" s="41" t="s">
        <v>177</v>
      </c>
      <c r="I41" s="41" t="s">
        <v>91</v>
      </c>
      <c r="J41" s="102" t="s">
        <v>92</v>
      </c>
      <c r="K41" s="206">
        <v>1200</v>
      </c>
      <c r="L41" s="102">
        <v>0.01</v>
      </c>
      <c r="M41" s="206" t="s">
        <v>80</v>
      </c>
      <c r="N41" s="102" t="s">
        <v>88</v>
      </c>
      <c r="O41" s="207">
        <v>97.4</v>
      </c>
      <c r="P41" s="197">
        <v>1.9999999999999879E-4</v>
      </c>
      <c r="Q41" s="197">
        <v>5.1999999999999998E-3</v>
      </c>
      <c r="R41" s="197">
        <v>8.9999999999999993E-3</v>
      </c>
      <c r="S41" s="197">
        <v>1.0999999999999999E-2</v>
      </c>
    </row>
    <row r="42" spans="1:19" ht="14.25" customHeight="1">
      <c r="A42" s="172" t="s">
        <v>94</v>
      </c>
      <c r="B42" s="41" t="s">
        <v>89</v>
      </c>
      <c r="C42" s="102" t="s">
        <v>138</v>
      </c>
      <c r="D42" s="92">
        <v>-51.939881870252066</v>
      </c>
      <c r="E42" s="92">
        <v>-23.422280000000004</v>
      </c>
      <c r="F42" s="172">
        <v>2009</v>
      </c>
      <c r="G42" s="175" t="s">
        <v>90</v>
      </c>
      <c r="H42" s="41" t="s">
        <v>177</v>
      </c>
      <c r="I42" s="41" t="s">
        <v>91</v>
      </c>
      <c r="J42" s="102" t="s">
        <v>92</v>
      </c>
      <c r="K42" s="206">
        <v>1200</v>
      </c>
      <c r="L42" s="102">
        <v>0.01</v>
      </c>
      <c r="M42" s="206" t="s">
        <v>80</v>
      </c>
      <c r="N42" s="102" t="s">
        <v>88</v>
      </c>
      <c r="O42" s="207">
        <v>92.35</v>
      </c>
      <c r="P42" s="197">
        <v>2.0000000000000052E-4</v>
      </c>
      <c r="Q42" s="197">
        <v>5.79E-3</v>
      </c>
      <c r="R42" s="197">
        <v>1.12E-2</v>
      </c>
      <c r="S42" s="197">
        <v>1.4999999999999999E-2</v>
      </c>
    </row>
    <row r="43" spans="1:19" ht="14.25" customHeight="1">
      <c r="A43" s="172" t="s">
        <v>94</v>
      </c>
      <c r="B43" s="41" t="s">
        <v>89</v>
      </c>
      <c r="C43" s="102" t="s">
        <v>153</v>
      </c>
      <c r="D43" s="92">
        <v>-48.208705251855818</v>
      </c>
      <c r="E43" s="92">
        <v>-7.191328939654956</v>
      </c>
      <c r="F43" s="172">
        <v>2009</v>
      </c>
      <c r="G43" s="175" t="s">
        <v>90</v>
      </c>
      <c r="H43" s="41" t="s">
        <v>177</v>
      </c>
      <c r="I43" s="41" t="s">
        <v>91</v>
      </c>
      <c r="J43" s="102" t="s">
        <v>92</v>
      </c>
      <c r="K43" s="206">
        <v>1200</v>
      </c>
      <c r="L43" s="102">
        <v>0.01</v>
      </c>
      <c r="M43" s="206" t="s">
        <v>80</v>
      </c>
      <c r="N43" s="102" t="s">
        <v>88</v>
      </c>
      <c r="O43" s="207">
        <v>84.825000000000003</v>
      </c>
      <c r="P43" s="197">
        <v>1E-3</v>
      </c>
      <c r="Q43" s="197">
        <v>6.7999999999999996E-3</v>
      </c>
      <c r="R43" s="197">
        <v>1.2999999999999999E-2</v>
      </c>
      <c r="S43" s="197">
        <v>1.6E-2</v>
      </c>
    </row>
    <row r="44" spans="1:19" ht="14.25" customHeight="1">
      <c r="A44" s="172" t="s">
        <v>94</v>
      </c>
      <c r="B44" s="41" t="s">
        <v>89</v>
      </c>
      <c r="C44" s="102" t="s">
        <v>139</v>
      </c>
      <c r="D44" s="92">
        <v>-48.351043708246195</v>
      </c>
      <c r="E44" s="92">
        <v>-10.16325332679275</v>
      </c>
      <c r="F44" s="172">
        <v>2009</v>
      </c>
      <c r="G44" s="175" t="s">
        <v>90</v>
      </c>
      <c r="H44" s="41" t="s">
        <v>177</v>
      </c>
      <c r="I44" s="41" t="s">
        <v>91</v>
      </c>
      <c r="J44" s="102" t="s">
        <v>92</v>
      </c>
      <c r="K44" s="206">
        <v>1200</v>
      </c>
      <c r="L44" s="102">
        <v>0.01</v>
      </c>
      <c r="M44" s="206" t="s">
        <v>80</v>
      </c>
      <c r="N44" s="102" t="s">
        <v>88</v>
      </c>
      <c r="O44" s="207">
        <v>84.4</v>
      </c>
      <c r="P44" s="197">
        <v>9.9999999999999915E-4</v>
      </c>
      <c r="Q44" s="197">
        <v>7.0000000000000001E-3</v>
      </c>
      <c r="R44" s="197">
        <v>1.2999999999999999E-2</v>
      </c>
      <c r="S44" s="197">
        <v>1.6E-2</v>
      </c>
    </row>
    <row r="45" spans="1:19" ht="14.25" customHeight="1">
      <c r="A45" s="172" t="s">
        <v>94</v>
      </c>
      <c r="B45" s="41" t="s">
        <v>89</v>
      </c>
      <c r="C45" s="41" t="s">
        <v>154</v>
      </c>
      <c r="D45" s="92">
        <v>-48.037211274124623</v>
      </c>
      <c r="E45" s="92">
        <v>-16.056078214198152</v>
      </c>
      <c r="F45" s="172">
        <v>2009</v>
      </c>
      <c r="G45" s="175" t="s">
        <v>90</v>
      </c>
      <c r="H45" s="41" t="s">
        <v>177</v>
      </c>
      <c r="I45" s="41" t="s">
        <v>91</v>
      </c>
      <c r="J45" s="102" t="s">
        <v>92</v>
      </c>
      <c r="K45" s="206">
        <v>1200</v>
      </c>
      <c r="L45" s="102">
        <v>0.01</v>
      </c>
      <c r="M45" s="206" t="s">
        <v>80</v>
      </c>
      <c r="N45" s="102" t="s">
        <v>88</v>
      </c>
      <c r="O45" s="207">
        <v>96.65</v>
      </c>
      <c r="P45" s="197">
        <v>4.0000000000000105E-4</v>
      </c>
      <c r="Q45" s="197">
        <v>4.7000000000000002E-3</v>
      </c>
      <c r="R45" s="197">
        <v>9.1000000000000004E-3</v>
      </c>
      <c r="S45" s="197">
        <v>1.2E-2</v>
      </c>
    </row>
    <row r="46" spans="1:19" ht="14.25" customHeight="1">
      <c r="A46" s="172" t="s">
        <v>94</v>
      </c>
      <c r="B46" s="41" t="s">
        <v>89</v>
      </c>
      <c r="C46" s="102" t="s">
        <v>144</v>
      </c>
      <c r="D46" s="92">
        <v>-47.887905478031342</v>
      </c>
      <c r="E46" s="92">
        <v>-15.794087361891002</v>
      </c>
      <c r="F46" s="172">
        <v>2009</v>
      </c>
      <c r="G46" s="175" t="s">
        <v>90</v>
      </c>
      <c r="H46" s="41" t="s">
        <v>177</v>
      </c>
      <c r="I46" s="41" t="s">
        <v>91</v>
      </c>
      <c r="J46" s="102" t="s">
        <v>92</v>
      </c>
      <c r="K46" s="206">
        <v>1200</v>
      </c>
      <c r="L46" s="102">
        <v>0.01</v>
      </c>
      <c r="M46" s="206" t="s">
        <v>80</v>
      </c>
      <c r="N46" s="102" t="s">
        <v>88</v>
      </c>
      <c r="O46" s="207">
        <v>78.699999999999989</v>
      </c>
      <c r="P46" s="197">
        <v>9.9999999999999915E-4</v>
      </c>
      <c r="Q46" s="197">
        <v>7.1999999999999998E-3</v>
      </c>
      <c r="R46" s="197">
        <v>1.2999999999999999E-2</v>
      </c>
      <c r="S46" s="197">
        <v>1.6E-2</v>
      </c>
    </row>
    <row r="47" spans="1:19" ht="14.25" customHeight="1">
      <c r="A47" s="172" t="s">
        <v>94</v>
      </c>
      <c r="B47" s="41" t="s">
        <v>89</v>
      </c>
      <c r="C47" s="102" t="s">
        <v>132</v>
      </c>
      <c r="D47" s="228">
        <v>-47.776090000000003</v>
      </c>
      <c r="E47" s="228">
        <v>-15.90288</v>
      </c>
      <c r="F47" s="172">
        <v>2009</v>
      </c>
      <c r="G47" s="175" t="s">
        <v>90</v>
      </c>
      <c r="H47" s="172" t="s">
        <v>177</v>
      </c>
      <c r="I47" s="41" t="s">
        <v>91</v>
      </c>
      <c r="J47" s="102" t="s">
        <v>92</v>
      </c>
      <c r="K47" s="206">
        <v>1200</v>
      </c>
      <c r="L47" s="102">
        <v>0.01</v>
      </c>
      <c r="M47" s="206" t="s">
        <v>80</v>
      </c>
      <c r="N47" s="102" t="s">
        <v>88</v>
      </c>
      <c r="O47" s="207">
        <v>93.574999999999989</v>
      </c>
      <c r="P47" s="197">
        <v>9.9999999999999395E-5</v>
      </c>
      <c r="Q47" s="197">
        <v>5.5999999999999999E-3</v>
      </c>
      <c r="R47" s="197">
        <v>0.01</v>
      </c>
      <c r="S47" s="197">
        <v>1.4E-2</v>
      </c>
    </row>
    <row r="48" spans="1:19" ht="14.25" customHeight="1">
      <c r="A48" s="172" t="s">
        <v>94</v>
      </c>
      <c r="B48" s="41" t="s">
        <v>89</v>
      </c>
      <c r="C48" s="102" t="s">
        <v>148</v>
      </c>
      <c r="D48" s="92">
        <v>-45.004168437028525</v>
      </c>
      <c r="E48" s="92">
        <v>-12.144924888390602</v>
      </c>
      <c r="F48" s="172">
        <v>2009</v>
      </c>
      <c r="G48" s="175" t="s">
        <v>90</v>
      </c>
      <c r="H48" s="172" t="s">
        <v>177</v>
      </c>
      <c r="I48" s="41" t="s">
        <v>91</v>
      </c>
      <c r="J48" s="102" t="s">
        <v>92</v>
      </c>
      <c r="K48" s="206">
        <v>600</v>
      </c>
      <c r="L48" s="102">
        <v>0.01</v>
      </c>
      <c r="M48" s="206" t="s">
        <v>80</v>
      </c>
      <c r="N48" s="102" t="s">
        <v>88</v>
      </c>
      <c r="O48" s="207">
        <v>89.65</v>
      </c>
      <c r="P48" s="197">
        <v>1E-3</v>
      </c>
      <c r="Q48" s="197">
        <v>6.4999999999999997E-3</v>
      </c>
      <c r="R48" s="197">
        <v>1.0999999999999999E-2</v>
      </c>
      <c r="S48" s="197">
        <v>1.4E-2</v>
      </c>
    </row>
    <row r="49" spans="1:20" ht="14.25" customHeight="1">
      <c r="A49" s="172" t="s">
        <v>94</v>
      </c>
      <c r="B49" s="41" t="s">
        <v>89</v>
      </c>
      <c r="C49" s="41" t="s">
        <v>156</v>
      </c>
      <c r="D49" s="92">
        <v>-39.043184286942569</v>
      </c>
      <c r="E49" s="92">
        <v>-14.793320269725204</v>
      </c>
      <c r="F49" s="172">
        <v>2009</v>
      </c>
      <c r="G49" s="175" t="s">
        <v>90</v>
      </c>
      <c r="H49" s="172" t="s">
        <v>177</v>
      </c>
      <c r="I49" s="41" t="s">
        <v>91</v>
      </c>
      <c r="J49" s="102" t="s">
        <v>92</v>
      </c>
      <c r="K49" s="206">
        <v>1200</v>
      </c>
      <c r="L49" s="102">
        <v>0.01</v>
      </c>
      <c r="M49" s="206" t="s">
        <v>80</v>
      </c>
      <c r="N49" s="102" t="s">
        <v>88</v>
      </c>
      <c r="O49" s="207">
        <v>56.85</v>
      </c>
      <c r="P49" s="197">
        <v>8.9999999999999993E-3</v>
      </c>
      <c r="Q49" s="197">
        <v>1.0120000000000002E-2</v>
      </c>
      <c r="R49" s="197">
        <v>1.4476190476190476E-2</v>
      </c>
      <c r="S49" s="197">
        <v>1.6228070175438598E-2</v>
      </c>
    </row>
    <row r="50" spans="1:20" ht="14.25" customHeight="1">
      <c r="A50" s="172" t="s">
        <v>94</v>
      </c>
      <c r="B50" s="41" t="s">
        <v>89</v>
      </c>
      <c r="C50" s="41" t="s">
        <v>157</v>
      </c>
      <c r="D50" s="92">
        <v>-40.088607327476304</v>
      </c>
      <c r="E50" s="92">
        <v>-13.855664007664052</v>
      </c>
      <c r="F50" s="172">
        <v>2009</v>
      </c>
      <c r="G50" s="175" t="s">
        <v>90</v>
      </c>
      <c r="H50" s="172" t="s">
        <v>177</v>
      </c>
      <c r="I50" s="41" t="s">
        <v>91</v>
      </c>
      <c r="J50" s="102" t="s">
        <v>92</v>
      </c>
      <c r="K50" s="206">
        <v>600</v>
      </c>
      <c r="L50" s="102">
        <v>0.01</v>
      </c>
      <c r="M50" s="206" t="s">
        <v>80</v>
      </c>
      <c r="N50" s="102" t="s">
        <v>88</v>
      </c>
      <c r="O50" s="207">
        <v>9.5500000000000007</v>
      </c>
      <c r="P50" s="179">
        <v>1.0000000000000009E-3</v>
      </c>
      <c r="Q50" s="197">
        <v>2.0952380952380955E-2</v>
      </c>
      <c r="R50" s="197">
        <v>2.6666666666666668E-2</v>
      </c>
      <c r="S50" s="197">
        <v>2.9210526315789475E-2</v>
      </c>
    </row>
    <row r="51" spans="1:20" ht="14.25" customHeight="1" thickBot="1">
      <c r="A51" s="167" t="s">
        <v>94</v>
      </c>
      <c r="B51" s="167" t="s">
        <v>89</v>
      </c>
      <c r="C51" s="167" t="s">
        <v>149</v>
      </c>
      <c r="D51" s="93">
        <v>-40.513017627870106</v>
      </c>
      <c r="E51" s="93">
        <v>-11.185062160141854</v>
      </c>
      <c r="F51" s="167">
        <v>2009</v>
      </c>
      <c r="G51" s="176" t="s">
        <v>90</v>
      </c>
      <c r="H51" s="167" t="s">
        <v>177</v>
      </c>
      <c r="I51" s="167" t="s">
        <v>91</v>
      </c>
      <c r="J51" s="104" t="s">
        <v>92</v>
      </c>
      <c r="K51" s="104">
        <v>900</v>
      </c>
      <c r="L51" s="104">
        <v>0.01</v>
      </c>
      <c r="M51" s="104" t="s">
        <v>80</v>
      </c>
      <c r="N51" s="104" t="s">
        <v>88</v>
      </c>
      <c r="O51" s="177">
        <v>42.5</v>
      </c>
      <c r="P51" s="198">
        <v>5.9999999999999984E-3</v>
      </c>
      <c r="Q51" s="208">
        <v>1.26E-2</v>
      </c>
      <c r="R51" s="208">
        <v>2.7400000000000001E-2</v>
      </c>
      <c r="S51" s="208">
        <v>3.7600000000000001E-2</v>
      </c>
    </row>
    <row r="52" spans="1:20" ht="14.25" customHeight="1">
      <c r="A52" s="172" t="s">
        <v>94</v>
      </c>
      <c r="B52" s="41" t="s">
        <v>89</v>
      </c>
      <c r="C52" s="205" t="s">
        <v>124</v>
      </c>
      <c r="D52" s="268"/>
      <c r="E52" s="269"/>
      <c r="F52" s="172">
        <v>2009</v>
      </c>
      <c r="G52" s="175" t="s">
        <v>90</v>
      </c>
      <c r="H52" s="172" t="s">
        <v>177</v>
      </c>
      <c r="I52" s="41" t="s">
        <v>91</v>
      </c>
      <c r="J52" s="102" t="s">
        <v>93</v>
      </c>
      <c r="K52" s="102">
        <v>900</v>
      </c>
      <c r="L52" s="102">
        <v>0.2</v>
      </c>
      <c r="M52" s="206" t="s">
        <v>80</v>
      </c>
      <c r="N52" s="102" t="s">
        <v>88</v>
      </c>
      <c r="O52" s="209">
        <v>100</v>
      </c>
      <c r="P52" s="182">
        <v>4.0000000000000036E-3</v>
      </c>
      <c r="Q52" s="197">
        <v>3.3000000000000002E-2</v>
      </c>
      <c r="R52" s="197">
        <v>6.9000000000000006E-2</v>
      </c>
      <c r="S52" s="197">
        <v>9.4E-2</v>
      </c>
      <c r="T52" s="172"/>
    </row>
    <row r="53" spans="1:20" ht="14.25" customHeight="1">
      <c r="A53" s="172" t="s">
        <v>94</v>
      </c>
      <c r="B53" s="41" t="s">
        <v>89</v>
      </c>
      <c r="C53" s="172" t="s">
        <v>100</v>
      </c>
      <c r="D53" s="92">
        <v>-50.439226072752582</v>
      </c>
      <c r="E53" s="92">
        <v>-21.205476000000004</v>
      </c>
      <c r="F53" s="172">
        <v>2009</v>
      </c>
      <c r="G53" s="175" t="s">
        <v>90</v>
      </c>
      <c r="H53" s="172" t="s">
        <v>177</v>
      </c>
      <c r="I53" s="41" t="s">
        <v>91</v>
      </c>
      <c r="J53" s="102" t="s">
        <v>93</v>
      </c>
      <c r="K53" s="206">
        <v>1500</v>
      </c>
      <c r="L53" s="102">
        <v>0.2</v>
      </c>
      <c r="M53" s="206" t="s">
        <v>80</v>
      </c>
      <c r="N53" s="102" t="s">
        <v>88</v>
      </c>
      <c r="O53" s="147">
        <v>99.72</v>
      </c>
      <c r="P53" s="179">
        <v>1.0000000000000009E-2</v>
      </c>
      <c r="Q53" s="197">
        <v>6.6000000000000003E-2</v>
      </c>
      <c r="R53" s="197">
        <v>0.14000000000000001</v>
      </c>
      <c r="S53" s="197">
        <v>0.18</v>
      </c>
      <c r="T53" s="172"/>
    </row>
    <row r="54" spans="1:20" ht="14.25" customHeight="1">
      <c r="A54" s="172" t="s">
        <v>94</v>
      </c>
      <c r="B54" s="41" t="s">
        <v>89</v>
      </c>
      <c r="C54" s="102" t="s">
        <v>101</v>
      </c>
      <c r="D54" s="92">
        <v>-48.567377839455055</v>
      </c>
      <c r="E54" s="92">
        <v>-20.558455515000002</v>
      </c>
      <c r="F54" s="41">
        <v>2009</v>
      </c>
      <c r="G54" s="175" t="s">
        <v>90</v>
      </c>
      <c r="H54" s="172" t="s">
        <v>177</v>
      </c>
      <c r="I54" s="41" t="s">
        <v>91</v>
      </c>
      <c r="J54" s="102" t="s">
        <v>93</v>
      </c>
      <c r="K54" s="206">
        <v>1200</v>
      </c>
      <c r="L54" s="102">
        <v>0.2</v>
      </c>
      <c r="M54" s="206" t="s">
        <v>80</v>
      </c>
      <c r="N54" s="102" t="s">
        <v>88</v>
      </c>
      <c r="O54" s="229">
        <v>100</v>
      </c>
      <c r="P54" s="179">
        <v>1.0000000000000009E-2</v>
      </c>
      <c r="Q54" s="197">
        <v>5.8999999999999997E-2</v>
      </c>
      <c r="R54" s="197">
        <v>0.13</v>
      </c>
      <c r="S54" s="197">
        <v>0.17</v>
      </c>
      <c r="T54" s="172"/>
    </row>
    <row r="55" spans="1:20" ht="14.25" customHeight="1">
      <c r="A55" s="172" t="s">
        <v>94</v>
      </c>
      <c r="B55" s="41" t="s">
        <v>89</v>
      </c>
      <c r="C55" s="41" t="s">
        <v>102</v>
      </c>
      <c r="D55" s="92">
        <v>-49.083000867090362</v>
      </c>
      <c r="E55" s="92">
        <v>-22.325122500000006</v>
      </c>
      <c r="F55" s="41">
        <v>2009</v>
      </c>
      <c r="G55" s="175" t="s">
        <v>90</v>
      </c>
      <c r="H55" s="172" t="s">
        <v>177</v>
      </c>
      <c r="I55" s="41" t="s">
        <v>91</v>
      </c>
      <c r="J55" s="102" t="s">
        <v>93</v>
      </c>
      <c r="K55" s="206">
        <v>1200</v>
      </c>
      <c r="L55" s="102">
        <v>0.2</v>
      </c>
      <c r="M55" s="206" t="s">
        <v>80</v>
      </c>
      <c r="N55" s="102" t="s">
        <v>88</v>
      </c>
      <c r="O55" s="146">
        <v>100</v>
      </c>
      <c r="P55" s="179">
        <v>9.999999999999995E-3</v>
      </c>
      <c r="Q55" s="197">
        <v>6.4000000000000001E-2</v>
      </c>
      <c r="R55" s="197">
        <v>0.12</v>
      </c>
      <c r="S55" s="197">
        <v>0.16</v>
      </c>
      <c r="T55" s="172"/>
    </row>
    <row r="56" spans="1:20" ht="14.25" customHeight="1">
      <c r="A56" s="172" t="s">
        <v>94</v>
      </c>
      <c r="B56" s="41" t="s">
        <v>89</v>
      </c>
      <c r="C56" s="102" t="s">
        <v>104</v>
      </c>
      <c r="D56" s="92">
        <v>-48.441289384350434</v>
      </c>
      <c r="E56" s="92">
        <v>-22.888381500000008</v>
      </c>
      <c r="F56" s="41">
        <v>2009</v>
      </c>
      <c r="G56" s="175" t="s">
        <v>90</v>
      </c>
      <c r="H56" s="172" t="s">
        <v>177</v>
      </c>
      <c r="I56" s="41" t="s">
        <v>91</v>
      </c>
      <c r="J56" s="102" t="s">
        <v>93</v>
      </c>
      <c r="K56" s="206">
        <v>1200</v>
      </c>
      <c r="L56" s="102">
        <v>0.2</v>
      </c>
      <c r="M56" s="206" t="s">
        <v>80</v>
      </c>
      <c r="N56" s="102" t="s">
        <v>88</v>
      </c>
      <c r="O56" s="147">
        <v>99.4</v>
      </c>
      <c r="P56" s="179">
        <v>1.0000000000000009E-2</v>
      </c>
      <c r="Q56" s="197">
        <v>7.3999999999999996E-2</v>
      </c>
      <c r="R56" s="197">
        <v>0.14000000000000001</v>
      </c>
      <c r="S56" s="197">
        <v>0.18</v>
      </c>
      <c r="T56" s="172"/>
    </row>
    <row r="57" spans="1:20" ht="14.25" customHeight="1">
      <c r="A57" s="172" t="s">
        <v>94</v>
      </c>
      <c r="B57" s="41" t="s">
        <v>89</v>
      </c>
      <c r="C57" s="102" t="s">
        <v>106</v>
      </c>
      <c r="D57" s="92">
        <v>-46.933372863488053</v>
      </c>
      <c r="E57" s="92">
        <v>-23.546934000000004</v>
      </c>
      <c r="F57" s="41">
        <v>2009</v>
      </c>
      <c r="G57" s="175" t="s">
        <v>90</v>
      </c>
      <c r="H57" s="172" t="s">
        <v>177</v>
      </c>
      <c r="I57" s="41" t="s">
        <v>91</v>
      </c>
      <c r="J57" s="102" t="s">
        <v>93</v>
      </c>
      <c r="K57" s="206">
        <v>1200</v>
      </c>
      <c r="L57" s="102">
        <v>0.2</v>
      </c>
      <c r="M57" s="206" t="s">
        <v>80</v>
      </c>
      <c r="N57" s="102" t="s">
        <v>88</v>
      </c>
      <c r="O57" s="147">
        <v>99.8</v>
      </c>
      <c r="P57" s="179">
        <v>9.9999999999999811E-3</v>
      </c>
      <c r="Q57" s="197">
        <v>8.1000000000000003E-2</v>
      </c>
      <c r="R57" s="197">
        <v>0.15</v>
      </c>
      <c r="S57" s="197">
        <v>0.2</v>
      </c>
      <c r="T57" s="172"/>
    </row>
    <row r="58" spans="1:20" ht="14.25" customHeight="1">
      <c r="A58" s="172" t="s">
        <v>94</v>
      </c>
      <c r="B58" s="41" t="s">
        <v>89</v>
      </c>
      <c r="C58" s="102" t="s">
        <v>107</v>
      </c>
      <c r="D58" s="92">
        <v>-49.951645643103269</v>
      </c>
      <c r="E58" s="92">
        <v>-22.214933000000002</v>
      </c>
      <c r="F58" s="41">
        <v>2009</v>
      </c>
      <c r="G58" s="175" t="s">
        <v>90</v>
      </c>
      <c r="H58" s="172" t="s">
        <v>177</v>
      </c>
      <c r="I58" s="41" t="s">
        <v>91</v>
      </c>
      <c r="J58" s="102" t="s">
        <v>93</v>
      </c>
      <c r="K58" s="206">
        <v>1200</v>
      </c>
      <c r="L58" s="102">
        <v>0.2</v>
      </c>
      <c r="M58" s="206" t="s">
        <v>80</v>
      </c>
      <c r="N58" s="102" t="s">
        <v>88</v>
      </c>
      <c r="O58" s="230">
        <v>99.525000000000006</v>
      </c>
      <c r="P58" s="179">
        <v>1.0000000000000009E-2</v>
      </c>
      <c r="Q58" s="197">
        <v>6.5000000000000002E-2</v>
      </c>
      <c r="R58" s="197">
        <v>0.14000000000000001</v>
      </c>
      <c r="S58" s="197">
        <v>0.2</v>
      </c>
      <c r="T58" s="172"/>
    </row>
    <row r="59" spans="1:20" ht="14.25" customHeight="1">
      <c r="A59" s="172" t="s">
        <v>94</v>
      </c>
      <c r="B59" s="41" t="s">
        <v>89</v>
      </c>
      <c r="C59" s="102" t="s">
        <v>108</v>
      </c>
      <c r="D59" s="92">
        <v>-51.386765581912492</v>
      </c>
      <c r="E59" s="92">
        <v>-22.122743500000002</v>
      </c>
      <c r="F59" s="41">
        <v>2009</v>
      </c>
      <c r="G59" s="175" t="s">
        <v>90</v>
      </c>
      <c r="H59" s="41" t="s">
        <v>177</v>
      </c>
      <c r="I59" s="41" t="s">
        <v>91</v>
      </c>
      <c r="J59" s="102" t="s">
        <v>93</v>
      </c>
      <c r="K59" s="206">
        <v>1200</v>
      </c>
      <c r="L59" s="102">
        <v>0.2</v>
      </c>
      <c r="M59" s="206" t="s">
        <v>80</v>
      </c>
      <c r="N59" s="102" t="s">
        <v>88</v>
      </c>
      <c r="O59" s="147">
        <v>97.974999999999994</v>
      </c>
      <c r="P59" s="179">
        <v>1.0000000000000009E-2</v>
      </c>
      <c r="Q59" s="197">
        <v>8.1000000000000003E-2</v>
      </c>
      <c r="R59" s="197">
        <v>0.17</v>
      </c>
      <c r="S59" s="197">
        <v>0.22</v>
      </c>
      <c r="T59" s="172"/>
    </row>
    <row r="60" spans="1:20" ht="14.25" customHeight="1">
      <c r="A60" s="172" t="s">
        <v>94</v>
      </c>
      <c r="B60" s="41" t="s">
        <v>89</v>
      </c>
      <c r="C60" s="102" t="s">
        <v>109</v>
      </c>
      <c r="D60" s="92">
        <v>-47.805475915541528</v>
      </c>
      <c r="E60" s="92">
        <v>-21.184834500000004</v>
      </c>
      <c r="F60" s="41">
        <v>2009</v>
      </c>
      <c r="G60" s="175" t="s">
        <v>90</v>
      </c>
      <c r="H60" s="172" t="s">
        <v>177</v>
      </c>
      <c r="I60" s="41" t="s">
        <v>91</v>
      </c>
      <c r="J60" s="102" t="s">
        <v>93</v>
      </c>
      <c r="K60" s="206">
        <v>1200</v>
      </c>
      <c r="L60" s="102">
        <v>0.2</v>
      </c>
      <c r="M60" s="206" t="s">
        <v>80</v>
      </c>
      <c r="N60" s="102" t="s">
        <v>88</v>
      </c>
      <c r="O60" s="147">
        <v>99.625</v>
      </c>
      <c r="P60" s="197">
        <v>1E-3</v>
      </c>
      <c r="Q60" s="197">
        <v>7.6999999999999999E-2</v>
      </c>
      <c r="R60" s="197">
        <v>0.14000000000000001</v>
      </c>
      <c r="S60" s="197">
        <v>0.19</v>
      </c>
      <c r="T60" s="172"/>
    </row>
    <row r="61" spans="1:20" ht="14.25" customHeight="1">
      <c r="A61" s="172" t="s">
        <v>94</v>
      </c>
      <c r="B61" s="41" t="s">
        <v>89</v>
      </c>
      <c r="C61" s="102" t="s">
        <v>152</v>
      </c>
      <c r="D61" s="92">
        <v>-46.331370849190684</v>
      </c>
      <c r="E61" s="92">
        <v>-23.933737500000003</v>
      </c>
      <c r="F61" s="41">
        <v>2009</v>
      </c>
      <c r="G61" s="175" t="s">
        <v>90</v>
      </c>
      <c r="H61" s="172" t="s">
        <v>177</v>
      </c>
      <c r="I61" s="41" t="s">
        <v>91</v>
      </c>
      <c r="J61" s="102" t="s">
        <v>93</v>
      </c>
      <c r="K61" s="206">
        <v>1200</v>
      </c>
      <c r="L61" s="102">
        <v>0.2</v>
      </c>
      <c r="M61" s="206" t="s">
        <v>80</v>
      </c>
      <c r="N61" s="102" t="s">
        <v>88</v>
      </c>
      <c r="O61" s="146">
        <v>100</v>
      </c>
      <c r="P61" s="179">
        <v>9.9999999999999811E-3</v>
      </c>
      <c r="Q61" s="197">
        <v>7.0000000000000007E-2</v>
      </c>
      <c r="R61" s="197">
        <v>0.15</v>
      </c>
      <c r="S61" s="197">
        <v>0.2</v>
      </c>
      <c r="T61" s="172"/>
    </row>
    <row r="62" spans="1:20" ht="14.25" customHeight="1">
      <c r="A62" s="172" t="s">
        <v>94</v>
      </c>
      <c r="B62" s="41" t="s">
        <v>89</v>
      </c>
      <c r="C62" s="102" t="s">
        <v>131</v>
      </c>
      <c r="D62" s="92">
        <v>-49.381347685025794</v>
      </c>
      <c r="E62" s="92">
        <v>-20.812636500000004</v>
      </c>
      <c r="F62" s="41">
        <v>2009</v>
      </c>
      <c r="G62" s="175" t="s">
        <v>90</v>
      </c>
      <c r="H62" s="172" t="s">
        <v>177</v>
      </c>
      <c r="I62" s="41" t="s">
        <v>91</v>
      </c>
      <c r="J62" s="102" t="s">
        <v>93</v>
      </c>
      <c r="K62" s="206">
        <v>1200</v>
      </c>
      <c r="L62" s="102">
        <v>0.2</v>
      </c>
      <c r="M62" s="206" t="s">
        <v>80</v>
      </c>
      <c r="N62" s="102" t="s">
        <v>88</v>
      </c>
      <c r="O62" s="147">
        <v>99.15</v>
      </c>
      <c r="P62" s="197">
        <v>1E-3</v>
      </c>
      <c r="Q62" s="197">
        <v>6.8000000000000005E-2</v>
      </c>
      <c r="R62" s="197">
        <v>0.14000000000000001</v>
      </c>
      <c r="S62" s="197">
        <v>0.2</v>
      </c>
      <c r="T62" s="172"/>
    </row>
    <row r="63" spans="1:20" ht="14.25" customHeight="1">
      <c r="A63" s="172" t="s">
        <v>94</v>
      </c>
      <c r="B63" s="41" t="s">
        <v>89</v>
      </c>
      <c r="C63" s="102" t="s">
        <v>113</v>
      </c>
      <c r="D63" s="92">
        <v>-45.402680140543957</v>
      </c>
      <c r="E63" s="92">
        <v>-23.806687652148753</v>
      </c>
      <c r="F63" s="41">
        <v>2009</v>
      </c>
      <c r="G63" s="175" t="s">
        <v>90</v>
      </c>
      <c r="H63" s="172" t="s">
        <v>177</v>
      </c>
      <c r="I63" s="41" t="s">
        <v>91</v>
      </c>
      <c r="J63" s="102" t="s">
        <v>93</v>
      </c>
      <c r="K63" s="206">
        <v>1200</v>
      </c>
      <c r="L63" s="102">
        <v>0.2</v>
      </c>
      <c r="M63" s="206" t="s">
        <v>80</v>
      </c>
      <c r="N63" s="102" t="s">
        <v>88</v>
      </c>
      <c r="O63" s="147">
        <v>98.699999999999989</v>
      </c>
      <c r="P63" s="179">
        <v>1.0000000000000009E-2</v>
      </c>
      <c r="Q63" s="197">
        <v>8.5000000000000006E-2</v>
      </c>
      <c r="R63" s="197">
        <v>0.16</v>
      </c>
      <c r="S63" s="197">
        <v>0.21</v>
      </c>
      <c r="T63" s="172"/>
    </row>
    <row r="64" spans="1:20" ht="14.25" customHeight="1">
      <c r="A64" s="172" t="s">
        <v>94</v>
      </c>
      <c r="B64" s="41" t="s">
        <v>89</v>
      </c>
      <c r="C64" s="102" t="s">
        <v>114</v>
      </c>
      <c r="D64" s="92">
        <v>-47.457853253204043</v>
      </c>
      <c r="E64" s="92">
        <v>-23.499323</v>
      </c>
      <c r="F64" s="41">
        <v>2009</v>
      </c>
      <c r="G64" s="175" t="s">
        <v>90</v>
      </c>
      <c r="H64" s="172" t="s">
        <v>177</v>
      </c>
      <c r="I64" s="41" t="s">
        <v>91</v>
      </c>
      <c r="J64" s="102" t="s">
        <v>93</v>
      </c>
      <c r="K64" s="206">
        <v>1200</v>
      </c>
      <c r="L64" s="102">
        <v>0.2</v>
      </c>
      <c r="M64" s="206" t="s">
        <v>80</v>
      </c>
      <c r="N64" s="102" t="s">
        <v>88</v>
      </c>
      <c r="O64" s="146">
        <v>100</v>
      </c>
      <c r="P64" s="179">
        <v>9.999999999999995E-3</v>
      </c>
      <c r="Q64" s="197">
        <v>6.5000000000000002E-2</v>
      </c>
      <c r="R64" s="197">
        <v>0.11</v>
      </c>
      <c r="S64" s="197">
        <v>0.13</v>
      </c>
      <c r="T64" s="172"/>
    </row>
    <row r="65" spans="1:20" ht="14.25" customHeight="1">
      <c r="A65" s="172" t="s">
        <v>94</v>
      </c>
      <c r="B65" s="41" t="s">
        <v>89</v>
      </c>
      <c r="C65" s="102" t="s">
        <v>146</v>
      </c>
      <c r="D65" s="92">
        <v>-54.58710248860465</v>
      </c>
      <c r="E65" s="92">
        <v>-25.542493279529253</v>
      </c>
      <c r="F65" s="41">
        <v>2009</v>
      </c>
      <c r="G65" s="175" t="s">
        <v>90</v>
      </c>
      <c r="H65" s="172" t="s">
        <v>177</v>
      </c>
      <c r="I65" s="41" t="s">
        <v>91</v>
      </c>
      <c r="J65" s="102" t="s">
        <v>93</v>
      </c>
      <c r="K65" s="206">
        <v>1200</v>
      </c>
      <c r="L65" s="102">
        <v>0.2</v>
      </c>
      <c r="M65" s="206" t="s">
        <v>80</v>
      </c>
      <c r="N65" s="102" t="s">
        <v>88</v>
      </c>
      <c r="O65" s="147">
        <v>98.85</v>
      </c>
      <c r="P65" s="179">
        <v>9.9999999999999811E-3</v>
      </c>
      <c r="Q65" s="197">
        <v>6.3E-2</v>
      </c>
      <c r="R65" s="197">
        <v>0.15</v>
      </c>
      <c r="S65" s="197">
        <v>0.21</v>
      </c>
      <c r="T65" s="172"/>
    </row>
    <row r="66" spans="1:20" ht="14.25" customHeight="1">
      <c r="A66" s="172" t="s">
        <v>94</v>
      </c>
      <c r="B66" s="41" t="s">
        <v>89</v>
      </c>
      <c r="C66" s="102" t="s">
        <v>138</v>
      </c>
      <c r="D66" s="92">
        <v>-51.939881870252066</v>
      </c>
      <c r="E66" s="92">
        <v>-23.422280000000004</v>
      </c>
      <c r="F66" s="41">
        <v>2009</v>
      </c>
      <c r="G66" s="175" t="s">
        <v>90</v>
      </c>
      <c r="H66" s="172" t="s">
        <v>177</v>
      </c>
      <c r="I66" s="41" t="s">
        <v>91</v>
      </c>
      <c r="J66" s="102" t="s">
        <v>93</v>
      </c>
      <c r="K66" s="206">
        <v>900</v>
      </c>
      <c r="L66" s="102">
        <v>0.2</v>
      </c>
      <c r="M66" s="206" t="s">
        <v>80</v>
      </c>
      <c r="N66" s="102" t="s">
        <v>88</v>
      </c>
      <c r="O66" s="147">
        <v>98.633333333333326</v>
      </c>
      <c r="P66" s="179">
        <v>9.9999999999999811E-3</v>
      </c>
      <c r="Q66" s="197">
        <v>7.2999999999999995E-2</v>
      </c>
      <c r="R66" s="197">
        <v>0.15</v>
      </c>
      <c r="S66" s="197">
        <v>0.2</v>
      </c>
      <c r="T66" s="172"/>
    </row>
    <row r="67" spans="1:20" ht="14.25" customHeight="1">
      <c r="A67" s="172" t="s">
        <v>94</v>
      </c>
      <c r="B67" s="41" t="s">
        <v>89</v>
      </c>
      <c r="C67" s="102" t="s">
        <v>153</v>
      </c>
      <c r="D67" s="92">
        <v>-48.208705251855818</v>
      </c>
      <c r="E67" s="92">
        <v>-7.191328939654956</v>
      </c>
      <c r="F67" s="41">
        <v>2009</v>
      </c>
      <c r="G67" s="175" t="s">
        <v>90</v>
      </c>
      <c r="H67" s="172" t="s">
        <v>177</v>
      </c>
      <c r="I67" s="41" t="s">
        <v>91</v>
      </c>
      <c r="J67" s="102" t="s">
        <v>93</v>
      </c>
      <c r="K67" s="206">
        <v>1200</v>
      </c>
      <c r="L67" s="102">
        <v>0.2</v>
      </c>
      <c r="M67" s="206" t="s">
        <v>80</v>
      </c>
      <c r="N67" s="102" t="s">
        <v>88</v>
      </c>
      <c r="O67" s="147">
        <v>99.075000000000003</v>
      </c>
      <c r="P67" s="179">
        <v>8.0000000000000071E-3</v>
      </c>
      <c r="Q67" s="197">
        <v>6.3600000000000004E-2</v>
      </c>
      <c r="R67" s="197">
        <v>0.128</v>
      </c>
      <c r="S67" s="197">
        <v>0.17</v>
      </c>
      <c r="T67" s="172"/>
    </row>
    <row r="68" spans="1:20" ht="14.25" customHeight="1">
      <c r="A68" s="41" t="s">
        <v>94</v>
      </c>
      <c r="B68" s="41" t="s">
        <v>89</v>
      </c>
      <c r="C68" s="102" t="s">
        <v>139</v>
      </c>
      <c r="D68" s="92">
        <v>-48.351043708246195</v>
      </c>
      <c r="E68" s="92">
        <v>-10.16325332679275</v>
      </c>
      <c r="F68" s="41">
        <v>2009</v>
      </c>
      <c r="G68" s="175" t="s">
        <v>90</v>
      </c>
      <c r="H68" s="41" t="s">
        <v>177</v>
      </c>
      <c r="I68" s="41" t="s">
        <v>91</v>
      </c>
      <c r="J68" s="102" t="s">
        <v>93</v>
      </c>
      <c r="K68" s="206">
        <v>1200</v>
      </c>
      <c r="L68" s="102">
        <v>0.2</v>
      </c>
      <c r="M68" s="102" t="s">
        <v>80</v>
      </c>
      <c r="N68" s="102" t="s">
        <v>88</v>
      </c>
      <c r="O68" s="146">
        <v>100</v>
      </c>
      <c r="P68" s="179">
        <v>9.999999999999995E-3</v>
      </c>
      <c r="Q68" s="197">
        <v>6.9000000000000006E-2</v>
      </c>
      <c r="R68" s="197">
        <v>0.12</v>
      </c>
      <c r="S68" s="197">
        <v>0.15</v>
      </c>
      <c r="T68" s="172"/>
    </row>
    <row r="69" spans="1:20" s="201" customFormat="1" ht="14.25" customHeight="1">
      <c r="A69" s="41" t="s">
        <v>94</v>
      </c>
      <c r="B69" s="41" t="s">
        <v>89</v>
      </c>
      <c r="C69" s="102" t="s">
        <v>148</v>
      </c>
      <c r="D69" s="92">
        <v>-45.004168437028525</v>
      </c>
      <c r="E69" s="92">
        <v>-12.144924888390602</v>
      </c>
      <c r="F69" s="41">
        <v>2009</v>
      </c>
      <c r="G69" s="175" t="s">
        <v>90</v>
      </c>
      <c r="H69" s="41" t="s">
        <v>177</v>
      </c>
      <c r="I69" s="41" t="s">
        <v>91</v>
      </c>
      <c r="J69" s="102" t="s">
        <v>93</v>
      </c>
      <c r="K69" s="206">
        <v>600</v>
      </c>
      <c r="L69" s="102">
        <v>0.2</v>
      </c>
      <c r="M69" s="102" t="s">
        <v>80</v>
      </c>
      <c r="N69" s="102" t="s">
        <v>88</v>
      </c>
      <c r="O69" s="147">
        <v>98.5</v>
      </c>
      <c r="P69" s="197">
        <v>1.0000000000000009E-2</v>
      </c>
      <c r="Q69" s="197">
        <v>9.9000000000000005E-2</v>
      </c>
      <c r="R69" s="197">
        <v>0.17</v>
      </c>
      <c r="S69" s="197">
        <v>0.21</v>
      </c>
      <c r="T69" s="172"/>
    </row>
    <row r="70" spans="1:20" s="201" customFormat="1" ht="14.25" customHeight="1">
      <c r="A70" s="41" t="s">
        <v>94</v>
      </c>
      <c r="B70" s="41" t="s">
        <v>89</v>
      </c>
      <c r="C70" s="41" t="s">
        <v>156</v>
      </c>
      <c r="D70" s="92">
        <v>-39.043184286942569</v>
      </c>
      <c r="E70" s="92">
        <v>-14.793320269725204</v>
      </c>
      <c r="F70" s="41">
        <v>2009</v>
      </c>
      <c r="G70" s="175" t="s">
        <v>90</v>
      </c>
      <c r="H70" s="41" t="s">
        <v>177</v>
      </c>
      <c r="I70" s="41" t="s">
        <v>91</v>
      </c>
      <c r="J70" s="102" t="s">
        <v>93</v>
      </c>
      <c r="K70" s="206">
        <v>1200</v>
      </c>
      <c r="L70" s="102">
        <v>0.2</v>
      </c>
      <c r="M70" s="102" t="s">
        <v>80</v>
      </c>
      <c r="N70" s="102" t="s">
        <v>88</v>
      </c>
      <c r="O70" s="102">
        <v>90.4</v>
      </c>
      <c r="P70" s="197">
        <v>1.0000000000000009E-2</v>
      </c>
      <c r="Q70" s="197">
        <v>6.9000000000000006E-2</v>
      </c>
      <c r="R70" s="197">
        <v>0.14000000000000001</v>
      </c>
      <c r="S70" s="197">
        <v>0.18</v>
      </c>
      <c r="T70" s="172"/>
    </row>
    <row r="71" spans="1:20" s="201" customFormat="1" ht="14.25" customHeight="1" thickBot="1">
      <c r="A71" s="167" t="s">
        <v>94</v>
      </c>
      <c r="B71" s="167" t="s">
        <v>89</v>
      </c>
      <c r="C71" s="167" t="s">
        <v>157</v>
      </c>
      <c r="D71" s="93">
        <v>-40.088607327476304</v>
      </c>
      <c r="E71" s="93">
        <v>-13.855664007664052</v>
      </c>
      <c r="F71" s="167">
        <v>2009</v>
      </c>
      <c r="G71" s="176" t="s">
        <v>90</v>
      </c>
      <c r="H71" s="167" t="s">
        <v>177</v>
      </c>
      <c r="I71" s="167" t="s">
        <v>91</v>
      </c>
      <c r="J71" s="104" t="s">
        <v>93</v>
      </c>
      <c r="K71" s="104">
        <v>900</v>
      </c>
      <c r="L71" s="104"/>
      <c r="M71" s="104" t="s">
        <v>80</v>
      </c>
      <c r="N71" s="104" t="s">
        <v>88</v>
      </c>
      <c r="O71" s="104"/>
      <c r="P71" s="208">
        <v>1.999999999999999E-2</v>
      </c>
      <c r="Q71" s="208">
        <v>7.8E-2</v>
      </c>
      <c r="R71" s="208">
        <v>0.18</v>
      </c>
      <c r="S71" s="208">
        <v>0.26</v>
      </c>
      <c r="T71" s="172"/>
    </row>
    <row r="72" spans="1:20" s="172" customFormat="1" ht="14.25" customHeight="1">
      <c r="A72" s="172" t="s">
        <v>94</v>
      </c>
      <c r="B72" s="41" t="s">
        <v>89</v>
      </c>
      <c r="C72" s="194" t="s">
        <v>124</v>
      </c>
      <c r="D72" s="268"/>
      <c r="E72" s="269"/>
      <c r="F72" s="172">
        <v>2009</v>
      </c>
      <c r="G72" s="175" t="s">
        <v>90</v>
      </c>
      <c r="H72" s="41" t="s">
        <v>188</v>
      </c>
      <c r="I72" s="41" t="s">
        <v>91</v>
      </c>
      <c r="J72" s="172" t="s">
        <v>20</v>
      </c>
      <c r="K72" s="102">
        <v>600</v>
      </c>
      <c r="L72" s="147">
        <v>73</v>
      </c>
      <c r="M72" s="203" t="s">
        <v>18</v>
      </c>
      <c r="N72" s="102" t="s">
        <v>88</v>
      </c>
      <c r="O72" s="146">
        <v>100</v>
      </c>
      <c r="P72" s="147">
        <v>0</v>
      </c>
      <c r="Q72" s="197"/>
      <c r="R72" s="197"/>
      <c r="S72" s="197"/>
    </row>
    <row r="73" spans="1:20" s="172" customFormat="1" ht="14.25" customHeight="1">
      <c r="A73" s="172" t="s">
        <v>94</v>
      </c>
      <c r="B73" s="41" t="s">
        <v>89</v>
      </c>
      <c r="C73" s="231" t="s">
        <v>100</v>
      </c>
      <c r="D73" s="92">
        <v>-50.439226072752582</v>
      </c>
      <c r="E73" s="92">
        <v>-21.205476000000004</v>
      </c>
      <c r="F73" s="172">
        <v>2009</v>
      </c>
      <c r="G73" s="175" t="s">
        <v>90</v>
      </c>
      <c r="H73" s="41" t="s">
        <v>188</v>
      </c>
      <c r="I73" s="41" t="s">
        <v>91</v>
      </c>
      <c r="J73" s="172" t="s">
        <v>20</v>
      </c>
      <c r="K73" s="232">
        <v>600</v>
      </c>
      <c r="L73" s="147">
        <v>146</v>
      </c>
      <c r="M73" s="203" t="s">
        <v>18</v>
      </c>
      <c r="N73" s="102" t="s">
        <v>88</v>
      </c>
      <c r="O73" s="233">
        <v>79.349999999999994</v>
      </c>
      <c r="P73" s="147">
        <v>6.1781874364573959</v>
      </c>
      <c r="R73" s="289"/>
      <c r="S73" s="289"/>
    </row>
    <row r="74" spans="1:20" s="172" customFormat="1" ht="14.25" customHeight="1">
      <c r="A74" s="172" t="s">
        <v>94</v>
      </c>
      <c r="B74" s="41" t="s">
        <v>89</v>
      </c>
      <c r="C74" s="234" t="s">
        <v>101</v>
      </c>
      <c r="D74" s="92">
        <v>-48.567377839455055</v>
      </c>
      <c r="E74" s="92">
        <v>-20.558455515000002</v>
      </c>
      <c r="F74" s="41">
        <v>2009</v>
      </c>
      <c r="G74" s="175" t="s">
        <v>90</v>
      </c>
      <c r="H74" s="41" t="s">
        <v>188</v>
      </c>
      <c r="I74" s="41" t="s">
        <v>91</v>
      </c>
      <c r="J74" s="172" t="s">
        <v>20</v>
      </c>
      <c r="K74" s="232">
        <v>600</v>
      </c>
      <c r="L74" s="147">
        <v>146</v>
      </c>
      <c r="M74" s="203" t="s">
        <v>18</v>
      </c>
      <c r="N74" s="102" t="s">
        <v>88</v>
      </c>
      <c r="O74" s="235">
        <v>77.349999999999994</v>
      </c>
      <c r="P74" s="152">
        <v>13.62118448104521</v>
      </c>
      <c r="R74" s="289"/>
      <c r="S74" s="289"/>
    </row>
    <row r="75" spans="1:20" s="172" customFormat="1" ht="14.25" customHeight="1">
      <c r="A75" s="172" t="s">
        <v>94</v>
      </c>
      <c r="B75" s="41" t="s">
        <v>89</v>
      </c>
      <c r="C75" s="236" t="s">
        <v>102</v>
      </c>
      <c r="D75" s="92">
        <v>-49.083000867090362</v>
      </c>
      <c r="E75" s="92">
        <v>-22.325122500000006</v>
      </c>
      <c r="F75" s="41">
        <v>2009</v>
      </c>
      <c r="G75" s="175" t="s">
        <v>90</v>
      </c>
      <c r="H75" s="41" t="s">
        <v>188</v>
      </c>
      <c r="I75" s="41" t="s">
        <v>91</v>
      </c>
      <c r="J75" s="172" t="s">
        <v>20</v>
      </c>
      <c r="K75" s="232">
        <v>900</v>
      </c>
      <c r="L75" s="147">
        <v>146</v>
      </c>
      <c r="M75" s="203" t="s">
        <v>18</v>
      </c>
      <c r="N75" s="102" t="s">
        <v>88</v>
      </c>
      <c r="O75" s="235">
        <v>97.416666666666671</v>
      </c>
      <c r="P75" s="152">
        <v>0.49159604012508756</v>
      </c>
      <c r="R75" s="234"/>
      <c r="S75" s="234"/>
    </row>
    <row r="76" spans="1:20" s="172" customFormat="1" ht="14.25" customHeight="1">
      <c r="A76" s="172" t="s">
        <v>94</v>
      </c>
      <c r="B76" s="41" t="s">
        <v>89</v>
      </c>
      <c r="C76" s="102" t="s">
        <v>104</v>
      </c>
      <c r="D76" s="92">
        <v>-48.441289384350434</v>
      </c>
      <c r="E76" s="92">
        <v>-22.888381500000008</v>
      </c>
      <c r="F76" s="41">
        <v>2009</v>
      </c>
      <c r="G76" s="175" t="s">
        <v>90</v>
      </c>
      <c r="H76" s="41" t="s">
        <v>188</v>
      </c>
      <c r="I76" s="41" t="s">
        <v>91</v>
      </c>
      <c r="J76" s="172" t="s">
        <v>20</v>
      </c>
      <c r="K76" s="232">
        <v>600</v>
      </c>
      <c r="L76" s="147">
        <v>146</v>
      </c>
      <c r="M76" s="203" t="s">
        <v>18</v>
      </c>
      <c r="N76" s="102" t="s">
        <v>88</v>
      </c>
      <c r="O76" s="235">
        <v>82.825000000000003</v>
      </c>
      <c r="P76" s="152">
        <v>8.991987173774957</v>
      </c>
      <c r="Q76" s="206"/>
      <c r="R76" s="237"/>
      <c r="S76" s="232"/>
    </row>
    <row r="77" spans="1:20" s="172" customFormat="1" ht="14.25" customHeight="1">
      <c r="A77" s="172" t="s">
        <v>94</v>
      </c>
      <c r="B77" s="41" t="s">
        <v>89</v>
      </c>
      <c r="C77" s="234" t="s">
        <v>106</v>
      </c>
      <c r="D77" s="92">
        <v>-46.933372863488053</v>
      </c>
      <c r="E77" s="92">
        <v>-23.546934000000004</v>
      </c>
      <c r="F77" s="41">
        <v>2009</v>
      </c>
      <c r="G77" s="175" t="s">
        <v>90</v>
      </c>
      <c r="H77" s="41" t="s">
        <v>188</v>
      </c>
      <c r="I77" s="41" t="s">
        <v>91</v>
      </c>
      <c r="J77" s="172" t="s">
        <v>20</v>
      </c>
      <c r="K77" s="232">
        <v>1050</v>
      </c>
      <c r="L77" s="147">
        <v>146</v>
      </c>
      <c r="M77" s="203" t="s">
        <v>18</v>
      </c>
      <c r="N77" s="102" t="s">
        <v>88</v>
      </c>
      <c r="O77" s="235">
        <v>91.814285714285703</v>
      </c>
      <c r="P77" s="152">
        <v>3.2246077649995275</v>
      </c>
      <c r="Q77" s="206"/>
      <c r="R77" s="238"/>
      <c r="S77" s="232"/>
    </row>
    <row r="78" spans="1:20" s="172" customFormat="1" ht="14.25" customHeight="1">
      <c r="A78" s="172" t="s">
        <v>94</v>
      </c>
      <c r="B78" s="41" t="s">
        <v>89</v>
      </c>
      <c r="C78" s="234" t="s">
        <v>107</v>
      </c>
      <c r="D78" s="92">
        <v>-49.951645643103269</v>
      </c>
      <c r="E78" s="92">
        <v>-22.214933000000002</v>
      </c>
      <c r="F78" s="41">
        <v>2009</v>
      </c>
      <c r="G78" s="175" t="s">
        <v>90</v>
      </c>
      <c r="H78" s="41" t="s">
        <v>188</v>
      </c>
      <c r="I78" s="41" t="s">
        <v>91</v>
      </c>
      <c r="J78" s="172" t="s">
        <v>20</v>
      </c>
      <c r="K78" s="232">
        <v>600</v>
      </c>
      <c r="L78" s="147">
        <v>146</v>
      </c>
      <c r="M78" s="203" t="s">
        <v>18</v>
      </c>
      <c r="N78" s="102" t="s">
        <v>88</v>
      </c>
      <c r="O78" s="235">
        <v>93.625</v>
      </c>
      <c r="P78" s="147">
        <v>5.258881376617401</v>
      </c>
      <c r="Q78" s="206"/>
      <c r="R78" s="238"/>
      <c r="S78" s="232"/>
    </row>
    <row r="79" spans="1:20" s="172" customFormat="1" ht="14.25" customHeight="1">
      <c r="A79" s="172" t="s">
        <v>94</v>
      </c>
      <c r="B79" s="41" t="s">
        <v>89</v>
      </c>
      <c r="C79" s="234" t="s">
        <v>108</v>
      </c>
      <c r="D79" s="92">
        <v>-51.386765581912492</v>
      </c>
      <c r="E79" s="92">
        <v>-22.122743500000002</v>
      </c>
      <c r="F79" s="41">
        <v>2009</v>
      </c>
      <c r="G79" s="175" t="s">
        <v>90</v>
      </c>
      <c r="H79" s="41" t="s">
        <v>188</v>
      </c>
      <c r="I79" s="41" t="s">
        <v>91</v>
      </c>
      <c r="J79" s="172" t="s">
        <v>20</v>
      </c>
      <c r="K79" s="232">
        <v>600</v>
      </c>
      <c r="L79" s="147">
        <v>146</v>
      </c>
      <c r="M79" s="203" t="s">
        <v>18</v>
      </c>
      <c r="N79" s="102" t="s">
        <v>88</v>
      </c>
      <c r="O79" s="235">
        <v>53.2</v>
      </c>
      <c r="P79" s="152">
        <v>5.5719535772174789</v>
      </c>
      <c r="Q79" s="206"/>
      <c r="R79" s="238"/>
      <c r="S79" s="232"/>
    </row>
    <row r="80" spans="1:20" s="172" customFormat="1" ht="14.25" customHeight="1">
      <c r="A80" s="172" t="s">
        <v>94</v>
      </c>
      <c r="B80" s="41" t="s">
        <v>89</v>
      </c>
      <c r="C80" s="234" t="s">
        <v>109</v>
      </c>
      <c r="D80" s="92">
        <v>-47.805475915541528</v>
      </c>
      <c r="E80" s="92">
        <v>-21.184834500000004</v>
      </c>
      <c r="F80" s="41">
        <v>2009</v>
      </c>
      <c r="G80" s="175" t="s">
        <v>90</v>
      </c>
      <c r="H80" s="41" t="s">
        <v>188</v>
      </c>
      <c r="I80" s="41" t="s">
        <v>91</v>
      </c>
      <c r="J80" s="172" t="s">
        <v>20</v>
      </c>
      <c r="K80" s="232">
        <v>750</v>
      </c>
      <c r="L80" s="147">
        <v>146</v>
      </c>
      <c r="M80" s="203" t="s">
        <v>18</v>
      </c>
      <c r="N80" s="102" t="s">
        <v>88</v>
      </c>
      <c r="O80" s="233">
        <v>79.2</v>
      </c>
      <c r="P80" s="147">
        <v>6.6719562348684507</v>
      </c>
      <c r="Q80" s="206"/>
      <c r="R80" s="238"/>
      <c r="S80" s="232"/>
    </row>
    <row r="81" spans="1:19" s="172" customFormat="1" ht="14.25" customHeight="1">
      <c r="A81" s="172" t="s">
        <v>94</v>
      </c>
      <c r="B81" s="41" t="s">
        <v>89</v>
      </c>
      <c r="C81" s="102" t="s">
        <v>152</v>
      </c>
      <c r="D81" s="92">
        <v>-46.331370849190684</v>
      </c>
      <c r="E81" s="92">
        <v>-23.933737500000003</v>
      </c>
      <c r="F81" s="41">
        <v>2009</v>
      </c>
      <c r="G81" s="175" t="s">
        <v>90</v>
      </c>
      <c r="H81" s="41" t="s">
        <v>188</v>
      </c>
      <c r="I81" s="41" t="s">
        <v>91</v>
      </c>
      <c r="J81" s="172" t="s">
        <v>20</v>
      </c>
      <c r="K81" s="232">
        <v>600</v>
      </c>
      <c r="L81" s="147">
        <v>146</v>
      </c>
      <c r="M81" s="203" t="s">
        <v>18</v>
      </c>
      <c r="N81" s="102" t="s">
        <v>88</v>
      </c>
      <c r="O81" s="233">
        <v>76.424999999999997</v>
      </c>
      <c r="P81" s="147">
        <v>6.9504795997590483</v>
      </c>
      <c r="Q81" s="206"/>
      <c r="R81" s="238"/>
      <c r="S81" s="232"/>
    </row>
    <row r="82" spans="1:19" s="172" customFormat="1" ht="14.25" customHeight="1">
      <c r="A82" s="172" t="s">
        <v>94</v>
      </c>
      <c r="B82" s="41" t="s">
        <v>89</v>
      </c>
      <c r="C82" s="102" t="s">
        <v>131</v>
      </c>
      <c r="D82" s="92">
        <v>-49.381347685025794</v>
      </c>
      <c r="E82" s="92">
        <v>-20.812636500000004</v>
      </c>
      <c r="F82" s="41">
        <v>2009</v>
      </c>
      <c r="G82" s="175" t="s">
        <v>90</v>
      </c>
      <c r="H82" s="41" t="s">
        <v>188</v>
      </c>
      <c r="I82" s="41" t="s">
        <v>91</v>
      </c>
      <c r="J82" s="172" t="s">
        <v>20</v>
      </c>
      <c r="K82" s="232">
        <v>600</v>
      </c>
      <c r="L82" s="147">
        <v>146</v>
      </c>
      <c r="M82" s="203" t="s">
        <v>18</v>
      </c>
      <c r="N82" s="102" t="s">
        <v>88</v>
      </c>
      <c r="O82" s="233">
        <v>66.400000000000006</v>
      </c>
      <c r="P82" s="147">
        <v>17.063801842887543</v>
      </c>
      <c r="Q82" s="206"/>
      <c r="R82" s="238"/>
      <c r="S82" s="232"/>
    </row>
    <row r="83" spans="1:19" s="172" customFormat="1" ht="14.25" customHeight="1">
      <c r="A83" s="172" t="s">
        <v>94</v>
      </c>
      <c r="B83" s="41" t="s">
        <v>89</v>
      </c>
      <c r="C83" s="234" t="s">
        <v>113</v>
      </c>
      <c r="D83" s="92">
        <v>-45.402680140543957</v>
      </c>
      <c r="E83" s="92">
        <v>-23.806687652148753</v>
      </c>
      <c r="F83" s="41">
        <v>2009</v>
      </c>
      <c r="G83" s="175" t="s">
        <v>90</v>
      </c>
      <c r="H83" s="41" t="s">
        <v>188</v>
      </c>
      <c r="I83" s="41" t="s">
        <v>91</v>
      </c>
      <c r="J83" s="172" t="s">
        <v>20</v>
      </c>
      <c r="K83" s="232">
        <v>600</v>
      </c>
      <c r="L83" s="147">
        <v>146</v>
      </c>
      <c r="M83" s="203" t="s">
        <v>18</v>
      </c>
      <c r="N83" s="102" t="s">
        <v>88</v>
      </c>
      <c r="O83" s="233">
        <v>78.325000000000003</v>
      </c>
      <c r="P83" s="147">
        <v>9.2026717135115597</v>
      </c>
      <c r="Q83" s="206"/>
      <c r="R83" s="237"/>
      <c r="S83" s="232"/>
    </row>
    <row r="84" spans="1:19" s="172" customFormat="1" ht="14.25" customHeight="1">
      <c r="A84" s="172" t="s">
        <v>94</v>
      </c>
      <c r="B84" s="41" t="s">
        <v>89</v>
      </c>
      <c r="C84" s="234" t="s">
        <v>114</v>
      </c>
      <c r="D84" s="92">
        <v>-47.457853253204043</v>
      </c>
      <c r="E84" s="92">
        <v>-23.499323</v>
      </c>
      <c r="F84" s="41">
        <v>2009</v>
      </c>
      <c r="G84" s="175" t="s">
        <v>90</v>
      </c>
      <c r="H84" s="41" t="s">
        <v>188</v>
      </c>
      <c r="I84" s="41" t="s">
        <v>91</v>
      </c>
      <c r="J84" s="172" t="s">
        <v>20</v>
      </c>
      <c r="K84" s="232">
        <v>600</v>
      </c>
      <c r="L84" s="147">
        <v>146</v>
      </c>
      <c r="M84" s="203" t="s">
        <v>18</v>
      </c>
      <c r="N84" s="102" t="s">
        <v>88</v>
      </c>
      <c r="O84" s="233">
        <v>93.95</v>
      </c>
      <c r="P84" s="147">
        <v>3.5837596645608563</v>
      </c>
      <c r="Q84" s="206"/>
      <c r="R84" s="237"/>
      <c r="S84" s="232"/>
    </row>
    <row r="85" spans="1:19" s="172" customFormat="1" ht="14.25" customHeight="1">
      <c r="A85" s="172" t="s">
        <v>94</v>
      </c>
      <c r="B85" s="41" t="s">
        <v>89</v>
      </c>
      <c r="C85" s="102" t="s">
        <v>146</v>
      </c>
      <c r="D85" s="92">
        <v>-54.58710248860465</v>
      </c>
      <c r="E85" s="92">
        <v>-25.542493279529253</v>
      </c>
      <c r="F85" s="41">
        <v>2009</v>
      </c>
      <c r="G85" s="175" t="s">
        <v>90</v>
      </c>
      <c r="H85" s="41" t="s">
        <v>188</v>
      </c>
      <c r="I85" s="41" t="s">
        <v>91</v>
      </c>
      <c r="J85" s="172" t="s">
        <v>20</v>
      </c>
      <c r="K85" s="232">
        <v>750</v>
      </c>
      <c r="L85" s="147">
        <v>146</v>
      </c>
      <c r="M85" s="203" t="s">
        <v>18</v>
      </c>
      <c r="N85" s="102" t="s">
        <v>88</v>
      </c>
      <c r="O85" s="233">
        <v>72.22</v>
      </c>
      <c r="P85" s="147">
        <v>11.689824635126101</v>
      </c>
      <c r="Q85" s="206"/>
      <c r="S85" s="232"/>
    </row>
    <row r="86" spans="1:19" s="172" customFormat="1" ht="14.25" customHeight="1">
      <c r="A86" s="172" t="s">
        <v>94</v>
      </c>
      <c r="B86" s="41" t="s">
        <v>89</v>
      </c>
      <c r="C86" s="102" t="s">
        <v>138</v>
      </c>
      <c r="D86" s="92">
        <v>-51.939881870252066</v>
      </c>
      <c r="E86" s="92">
        <v>-23.422280000000004</v>
      </c>
      <c r="F86" s="41">
        <v>2009</v>
      </c>
      <c r="G86" s="175" t="s">
        <v>90</v>
      </c>
      <c r="H86" s="41" t="s">
        <v>188</v>
      </c>
      <c r="I86" s="41" t="s">
        <v>91</v>
      </c>
      <c r="J86" s="172" t="s">
        <v>20</v>
      </c>
      <c r="K86" s="232">
        <v>600</v>
      </c>
      <c r="L86" s="147">
        <v>146</v>
      </c>
      <c r="M86" s="203" t="s">
        <v>18</v>
      </c>
      <c r="N86" s="102" t="s">
        <v>88</v>
      </c>
      <c r="O86" s="233">
        <v>6</v>
      </c>
      <c r="P86" s="184">
        <v>0.5</v>
      </c>
      <c r="Q86" s="206"/>
      <c r="S86" s="232"/>
    </row>
    <row r="87" spans="1:19" s="172" customFormat="1" ht="14.25" customHeight="1">
      <c r="A87" s="172" t="s">
        <v>94</v>
      </c>
      <c r="B87" s="41" t="s">
        <v>89</v>
      </c>
      <c r="C87" s="102" t="s">
        <v>153</v>
      </c>
      <c r="D87" s="92">
        <v>-48.208705251855818</v>
      </c>
      <c r="E87" s="92">
        <v>-7.191328939654956</v>
      </c>
      <c r="F87" s="41">
        <v>2009</v>
      </c>
      <c r="G87" s="175" t="s">
        <v>90</v>
      </c>
      <c r="H87" s="41" t="s">
        <v>188</v>
      </c>
      <c r="I87" s="41" t="s">
        <v>91</v>
      </c>
      <c r="J87" s="172" t="s">
        <v>20</v>
      </c>
      <c r="K87" s="232">
        <v>900</v>
      </c>
      <c r="L87" s="147">
        <v>146</v>
      </c>
      <c r="M87" s="203" t="s">
        <v>18</v>
      </c>
      <c r="N87" s="102" t="s">
        <v>88</v>
      </c>
      <c r="O87" s="233">
        <v>81.36666666666666</v>
      </c>
      <c r="P87" s="147">
        <v>16.237446433065379</v>
      </c>
      <c r="Q87" s="206"/>
      <c r="R87" s="237"/>
      <c r="S87" s="232"/>
    </row>
    <row r="88" spans="1:19" s="172" customFormat="1" ht="14.25" customHeight="1">
      <c r="A88" s="172" t="s">
        <v>94</v>
      </c>
      <c r="B88" s="41" t="s">
        <v>89</v>
      </c>
      <c r="C88" s="102" t="s">
        <v>139</v>
      </c>
      <c r="D88" s="92">
        <v>-48.351043708246195</v>
      </c>
      <c r="E88" s="92">
        <v>-10.16325332679275</v>
      </c>
      <c r="F88" s="41">
        <v>2009</v>
      </c>
      <c r="G88" s="175" t="s">
        <v>90</v>
      </c>
      <c r="H88" s="41" t="s">
        <v>188</v>
      </c>
      <c r="I88" s="41" t="s">
        <v>91</v>
      </c>
      <c r="J88" s="172" t="s">
        <v>20</v>
      </c>
      <c r="K88" s="232">
        <v>600</v>
      </c>
      <c r="L88" s="147">
        <v>146</v>
      </c>
      <c r="M88" s="203" t="s">
        <v>18</v>
      </c>
      <c r="N88" s="102" t="s">
        <v>88</v>
      </c>
      <c r="O88" s="233">
        <v>38.700000000000003</v>
      </c>
      <c r="P88" s="147">
        <v>20.2</v>
      </c>
      <c r="Q88" s="206"/>
      <c r="R88" s="237"/>
      <c r="S88" s="232"/>
    </row>
    <row r="89" spans="1:19" s="172" customFormat="1" ht="14.25" customHeight="1">
      <c r="A89" s="41" t="s">
        <v>94</v>
      </c>
      <c r="B89" s="41" t="s">
        <v>89</v>
      </c>
      <c r="C89" s="41" t="s">
        <v>156</v>
      </c>
      <c r="D89" s="96">
        <v>-39.043184286942569</v>
      </c>
      <c r="E89" s="96">
        <v>-14.793320269725204</v>
      </c>
      <c r="F89" s="41">
        <v>2009</v>
      </c>
      <c r="G89" s="175" t="s">
        <v>90</v>
      </c>
      <c r="H89" s="41" t="s">
        <v>188</v>
      </c>
      <c r="I89" s="41" t="s">
        <v>91</v>
      </c>
      <c r="J89" s="41" t="s">
        <v>20</v>
      </c>
      <c r="K89" s="234">
        <v>750</v>
      </c>
      <c r="L89" s="147">
        <v>146</v>
      </c>
      <c r="M89" s="203" t="s">
        <v>18</v>
      </c>
      <c r="N89" s="102" t="s">
        <v>88</v>
      </c>
      <c r="O89" s="233">
        <v>96.92</v>
      </c>
      <c r="P89" s="147">
        <v>3.0670833050310202</v>
      </c>
      <c r="Q89" s="206"/>
      <c r="R89" s="237"/>
      <c r="S89" s="232"/>
    </row>
    <row r="90" spans="1:19" s="172" customFormat="1" ht="14.25" customHeight="1">
      <c r="A90" s="41" t="s">
        <v>94</v>
      </c>
      <c r="B90" s="41" t="s">
        <v>89</v>
      </c>
      <c r="C90" s="234" t="s">
        <v>157</v>
      </c>
      <c r="D90" s="96">
        <v>-40.088607327476304</v>
      </c>
      <c r="E90" s="96">
        <v>-13.855664007664052</v>
      </c>
      <c r="F90" s="41">
        <v>2009</v>
      </c>
      <c r="G90" s="175" t="s">
        <v>90</v>
      </c>
      <c r="H90" s="41" t="s">
        <v>188</v>
      </c>
      <c r="I90" s="41" t="s">
        <v>91</v>
      </c>
      <c r="J90" s="41" t="s">
        <v>20</v>
      </c>
      <c r="K90" s="234">
        <v>600</v>
      </c>
      <c r="L90" s="147">
        <v>146</v>
      </c>
      <c r="M90" s="203" t="s">
        <v>18</v>
      </c>
      <c r="N90" s="102" t="s">
        <v>88</v>
      </c>
      <c r="O90" s="233">
        <v>71.525000000000006</v>
      </c>
      <c r="P90" s="147">
        <v>11.910044780212441</v>
      </c>
      <c r="Q90" s="206"/>
      <c r="R90" s="237"/>
      <c r="S90" s="232"/>
    </row>
    <row r="91" spans="1:19" s="172" customFormat="1" ht="14.25" customHeight="1">
      <c r="A91" s="41" t="s">
        <v>94</v>
      </c>
      <c r="B91" s="41" t="s">
        <v>89</v>
      </c>
      <c r="C91" s="234" t="s">
        <v>149</v>
      </c>
      <c r="D91" s="96">
        <v>-40.513017627870106</v>
      </c>
      <c r="E91" s="96">
        <v>-11.185062160141854</v>
      </c>
      <c r="F91" s="41">
        <v>2009</v>
      </c>
      <c r="G91" s="175" t="s">
        <v>90</v>
      </c>
      <c r="H91" s="41" t="s">
        <v>188</v>
      </c>
      <c r="I91" s="41" t="s">
        <v>91</v>
      </c>
      <c r="J91" s="41" t="s">
        <v>20</v>
      </c>
      <c r="K91" s="234">
        <v>450</v>
      </c>
      <c r="L91" s="147">
        <v>146</v>
      </c>
      <c r="M91" s="203" t="s">
        <v>18</v>
      </c>
      <c r="N91" s="102" t="s">
        <v>88</v>
      </c>
      <c r="O91" s="233">
        <v>71.233333333333334</v>
      </c>
      <c r="P91" s="207">
        <v>15.7</v>
      </c>
      <c r="Q91" s="206"/>
      <c r="R91" s="234"/>
      <c r="S91" s="234"/>
    </row>
    <row r="92" spans="1:19" s="172" customFormat="1" ht="14.25" customHeight="1" thickBot="1">
      <c r="A92" s="167" t="s">
        <v>94</v>
      </c>
      <c r="B92" s="167" t="s">
        <v>89</v>
      </c>
      <c r="C92" s="239" t="s">
        <v>148</v>
      </c>
      <c r="D92" s="93">
        <v>-45.004168437028525</v>
      </c>
      <c r="E92" s="93">
        <v>-12.144924888390602</v>
      </c>
      <c r="F92" s="167">
        <v>2009</v>
      </c>
      <c r="G92" s="176" t="s">
        <v>90</v>
      </c>
      <c r="H92" s="167" t="s">
        <v>188</v>
      </c>
      <c r="I92" s="167" t="s">
        <v>91</v>
      </c>
      <c r="J92" s="167" t="s">
        <v>20</v>
      </c>
      <c r="K92" s="239">
        <v>600</v>
      </c>
      <c r="L92" s="177">
        <v>146</v>
      </c>
      <c r="M92" s="204" t="s">
        <v>18</v>
      </c>
      <c r="N92" s="104" t="s">
        <v>88</v>
      </c>
      <c r="O92" s="240">
        <v>94.85</v>
      </c>
      <c r="P92" s="177">
        <v>5.5</v>
      </c>
      <c r="Q92" s="206"/>
      <c r="R92" s="234"/>
      <c r="S92" s="234"/>
    </row>
    <row r="93" spans="1:19" s="172" customFormat="1" ht="14.25" customHeight="1">
      <c r="A93" s="41" t="s">
        <v>94</v>
      </c>
      <c r="B93" s="41" t="s">
        <v>89</v>
      </c>
      <c r="C93" s="194" t="s">
        <v>124</v>
      </c>
      <c r="D93" s="268"/>
      <c r="E93" s="269"/>
      <c r="F93" s="41">
        <v>2009</v>
      </c>
      <c r="G93" s="175" t="s">
        <v>90</v>
      </c>
      <c r="H93" s="41" t="s">
        <v>188</v>
      </c>
      <c r="I93" s="41" t="s">
        <v>91</v>
      </c>
      <c r="J93" s="172" t="s">
        <v>93</v>
      </c>
      <c r="K93" s="102">
        <v>600</v>
      </c>
      <c r="L93" s="147">
        <v>146</v>
      </c>
      <c r="M93" s="203" t="s">
        <v>18</v>
      </c>
      <c r="N93" s="102" t="s">
        <v>88</v>
      </c>
      <c r="O93" s="146">
        <v>100</v>
      </c>
      <c r="P93" s="207">
        <v>0</v>
      </c>
      <c r="Q93" s="234"/>
      <c r="R93" s="233"/>
      <c r="S93" s="234"/>
    </row>
    <row r="94" spans="1:19" s="172" customFormat="1" ht="14.25" customHeight="1">
      <c r="A94" s="172" t="s">
        <v>94</v>
      </c>
      <c r="B94" s="41" t="s">
        <v>89</v>
      </c>
      <c r="C94" s="231" t="s">
        <v>100</v>
      </c>
      <c r="D94" s="92">
        <v>-50.439226072752582</v>
      </c>
      <c r="E94" s="92">
        <v>-21.205476000000004</v>
      </c>
      <c r="F94" s="41">
        <v>2009</v>
      </c>
      <c r="G94" s="175" t="s">
        <v>90</v>
      </c>
      <c r="H94" s="41" t="s">
        <v>188</v>
      </c>
      <c r="I94" s="41" t="s">
        <v>91</v>
      </c>
      <c r="J94" s="102" t="s">
        <v>93</v>
      </c>
      <c r="K94" s="232">
        <v>900</v>
      </c>
      <c r="L94" s="147">
        <v>292</v>
      </c>
      <c r="M94" s="203" t="s">
        <v>18</v>
      </c>
      <c r="N94" s="102" t="s">
        <v>88</v>
      </c>
      <c r="O94" s="232">
        <v>100</v>
      </c>
      <c r="P94" s="207">
        <v>0</v>
      </c>
      <c r="Q94" s="234"/>
      <c r="R94" s="237"/>
      <c r="S94" s="234"/>
    </row>
    <row r="95" spans="1:19" s="172" customFormat="1" ht="14.25" customHeight="1">
      <c r="A95" s="172" t="s">
        <v>94</v>
      </c>
      <c r="B95" s="41" t="s">
        <v>89</v>
      </c>
      <c r="C95" s="234" t="s">
        <v>101</v>
      </c>
      <c r="D95" s="92">
        <v>-48.567377839455055</v>
      </c>
      <c r="E95" s="92">
        <v>-20.558455515000002</v>
      </c>
      <c r="F95" s="41">
        <v>2009</v>
      </c>
      <c r="G95" s="175" t="s">
        <v>90</v>
      </c>
      <c r="H95" s="41" t="s">
        <v>188</v>
      </c>
      <c r="I95" s="41" t="s">
        <v>91</v>
      </c>
      <c r="J95" s="102" t="s">
        <v>93</v>
      </c>
      <c r="K95" s="232">
        <v>600</v>
      </c>
      <c r="L95" s="147">
        <v>292</v>
      </c>
      <c r="M95" s="203" t="s">
        <v>18</v>
      </c>
      <c r="N95" s="102" t="s">
        <v>88</v>
      </c>
      <c r="O95" s="233">
        <v>98.974999999999994</v>
      </c>
      <c r="P95" s="207">
        <v>2.1</v>
      </c>
      <c r="Q95" s="234"/>
      <c r="R95" s="234"/>
      <c r="S95" s="234"/>
    </row>
    <row r="96" spans="1:19" s="172" customFormat="1" ht="14.25" customHeight="1">
      <c r="A96" s="172" t="s">
        <v>94</v>
      </c>
      <c r="B96" s="41" t="s">
        <v>89</v>
      </c>
      <c r="C96" s="236" t="s">
        <v>102</v>
      </c>
      <c r="D96" s="92">
        <v>-49.083000867090362</v>
      </c>
      <c r="E96" s="92">
        <v>-22.325122500000006</v>
      </c>
      <c r="F96" s="41">
        <v>2009</v>
      </c>
      <c r="G96" s="175" t="s">
        <v>90</v>
      </c>
      <c r="H96" s="41" t="s">
        <v>188</v>
      </c>
      <c r="I96" s="41" t="s">
        <v>91</v>
      </c>
      <c r="J96" s="102" t="s">
        <v>93</v>
      </c>
      <c r="K96" s="232">
        <v>600</v>
      </c>
      <c r="L96" s="147">
        <v>292</v>
      </c>
      <c r="M96" s="203" t="s">
        <v>18</v>
      </c>
      <c r="N96" s="102" t="s">
        <v>88</v>
      </c>
      <c r="O96" s="232">
        <v>100</v>
      </c>
      <c r="P96" s="207">
        <v>0</v>
      </c>
      <c r="Q96" s="232"/>
      <c r="R96" s="234"/>
      <c r="S96" s="234"/>
    </row>
    <row r="97" spans="1:19" s="172" customFormat="1" ht="14.25" customHeight="1">
      <c r="A97" s="172" t="s">
        <v>94</v>
      </c>
      <c r="B97" s="41" t="s">
        <v>89</v>
      </c>
      <c r="C97" s="102" t="s">
        <v>104</v>
      </c>
      <c r="D97" s="92">
        <v>-48.441289384350434</v>
      </c>
      <c r="E97" s="92">
        <v>-22.888381500000008</v>
      </c>
      <c r="F97" s="41">
        <v>2009</v>
      </c>
      <c r="G97" s="175" t="s">
        <v>90</v>
      </c>
      <c r="H97" s="41" t="s">
        <v>188</v>
      </c>
      <c r="I97" s="41" t="s">
        <v>91</v>
      </c>
      <c r="J97" s="102" t="s">
        <v>93</v>
      </c>
      <c r="K97" s="232">
        <v>750</v>
      </c>
      <c r="L97" s="147">
        <v>292</v>
      </c>
      <c r="M97" s="203" t="s">
        <v>18</v>
      </c>
      <c r="N97" s="102" t="s">
        <v>88</v>
      </c>
      <c r="O97" s="233">
        <v>99.76</v>
      </c>
      <c r="P97" s="207">
        <v>0.5</v>
      </c>
      <c r="Q97" s="232"/>
      <c r="R97" s="102"/>
      <c r="S97" s="102"/>
    </row>
    <row r="98" spans="1:19" s="172" customFormat="1" ht="14.25" customHeight="1">
      <c r="A98" s="172" t="s">
        <v>94</v>
      </c>
      <c r="B98" s="41" t="s">
        <v>89</v>
      </c>
      <c r="C98" s="234" t="s">
        <v>106</v>
      </c>
      <c r="D98" s="92">
        <v>-46.933372863488053</v>
      </c>
      <c r="E98" s="92">
        <v>-23.546934000000004</v>
      </c>
      <c r="F98" s="41">
        <v>2009</v>
      </c>
      <c r="G98" s="175" t="s">
        <v>90</v>
      </c>
      <c r="H98" s="41" t="s">
        <v>188</v>
      </c>
      <c r="I98" s="41" t="s">
        <v>91</v>
      </c>
      <c r="J98" s="102" t="s">
        <v>93</v>
      </c>
      <c r="K98" s="232">
        <v>600</v>
      </c>
      <c r="L98" s="147">
        <v>292</v>
      </c>
      <c r="M98" s="203" t="s">
        <v>18</v>
      </c>
      <c r="N98" s="102" t="s">
        <v>88</v>
      </c>
      <c r="O98" s="232">
        <v>99.575000000000003</v>
      </c>
      <c r="P98" s="207">
        <v>0</v>
      </c>
      <c r="Q98" s="232"/>
      <c r="R98" s="102"/>
      <c r="S98" s="102"/>
    </row>
    <row r="99" spans="1:19" s="172" customFormat="1" ht="14.25" customHeight="1">
      <c r="A99" s="172" t="s">
        <v>94</v>
      </c>
      <c r="B99" s="41" t="s">
        <v>89</v>
      </c>
      <c r="C99" s="234" t="s">
        <v>107</v>
      </c>
      <c r="D99" s="92">
        <v>-49.951645643103269</v>
      </c>
      <c r="E99" s="92">
        <v>-22.214933000000002</v>
      </c>
      <c r="F99" s="172">
        <v>2009</v>
      </c>
      <c r="G99" s="175" t="s">
        <v>90</v>
      </c>
      <c r="H99" s="41" t="s">
        <v>188</v>
      </c>
      <c r="I99" s="41" t="s">
        <v>91</v>
      </c>
      <c r="J99" s="102" t="s">
        <v>93</v>
      </c>
      <c r="K99" s="232">
        <v>600</v>
      </c>
      <c r="L99" s="147">
        <v>292</v>
      </c>
      <c r="M99" s="203" t="s">
        <v>18</v>
      </c>
      <c r="N99" s="102" t="s">
        <v>88</v>
      </c>
      <c r="O99" s="232">
        <v>100</v>
      </c>
      <c r="P99" s="207">
        <v>0</v>
      </c>
      <c r="Q99" s="232"/>
      <c r="R99" s="102"/>
      <c r="S99" s="102"/>
    </row>
    <row r="100" spans="1:19" s="172" customFormat="1" ht="14.25" customHeight="1">
      <c r="A100" s="172" t="s">
        <v>94</v>
      </c>
      <c r="B100" s="41" t="s">
        <v>89</v>
      </c>
      <c r="C100" s="234" t="s">
        <v>108</v>
      </c>
      <c r="D100" s="92">
        <v>-51.386765581912492</v>
      </c>
      <c r="E100" s="92">
        <v>-22.122743500000002</v>
      </c>
      <c r="F100" s="172">
        <v>2009</v>
      </c>
      <c r="G100" s="175" t="s">
        <v>90</v>
      </c>
      <c r="H100" s="41" t="s">
        <v>188</v>
      </c>
      <c r="I100" s="41" t="s">
        <v>91</v>
      </c>
      <c r="J100" s="102" t="s">
        <v>93</v>
      </c>
      <c r="K100" s="232">
        <v>600</v>
      </c>
      <c r="L100" s="147">
        <v>292</v>
      </c>
      <c r="M100" s="203" t="s">
        <v>18</v>
      </c>
      <c r="N100" s="102" t="s">
        <v>88</v>
      </c>
      <c r="O100" s="233">
        <v>99.5</v>
      </c>
      <c r="P100" s="207">
        <v>1</v>
      </c>
      <c r="Q100" s="232"/>
      <c r="R100" s="102"/>
      <c r="S100" s="102"/>
    </row>
    <row r="101" spans="1:19" s="172" customFormat="1" ht="14.25" customHeight="1">
      <c r="A101" s="172" t="s">
        <v>94</v>
      </c>
      <c r="B101" s="41" t="s">
        <v>89</v>
      </c>
      <c r="C101" s="234" t="s">
        <v>109</v>
      </c>
      <c r="D101" s="92">
        <v>-47.805475915541528</v>
      </c>
      <c r="E101" s="92">
        <v>-21.184834500000004</v>
      </c>
      <c r="F101" s="41">
        <v>2009</v>
      </c>
      <c r="G101" s="175" t="s">
        <v>90</v>
      </c>
      <c r="H101" s="41" t="s">
        <v>188</v>
      </c>
      <c r="I101" s="41" t="s">
        <v>91</v>
      </c>
      <c r="J101" s="102" t="s">
        <v>93</v>
      </c>
      <c r="K101" s="232">
        <v>600</v>
      </c>
      <c r="L101" s="147">
        <v>292</v>
      </c>
      <c r="M101" s="203" t="s">
        <v>18</v>
      </c>
      <c r="N101" s="102" t="s">
        <v>88</v>
      </c>
      <c r="O101" s="232">
        <v>100</v>
      </c>
      <c r="P101" s="207">
        <v>0</v>
      </c>
      <c r="Q101" s="232"/>
      <c r="R101" s="102"/>
      <c r="S101" s="102"/>
    </row>
    <row r="102" spans="1:19" s="172" customFormat="1" ht="14.25" customHeight="1">
      <c r="A102" s="172" t="s">
        <v>94</v>
      </c>
      <c r="B102" s="41" t="s">
        <v>89</v>
      </c>
      <c r="C102" s="102" t="s">
        <v>152</v>
      </c>
      <c r="D102" s="92">
        <v>-46.331370849190684</v>
      </c>
      <c r="E102" s="92">
        <v>-23.933737500000003</v>
      </c>
      <c r="F102" s="41">
        <v>2009</v>
      </c>
      <c r="G102" s="175" t="s">
        <v>90</v>
      </c>
      <c r="H102" s="41" t="s">
        <v>188</v>
      </c>
      <c r="I102" s="41" t="s">
        <v>91</v>
      </c>
      <c r="J102" s="102" t="s">
        <v>93</v>
      </c>
      <c r="K102" s="232">
        <v>750</v>
      </c>
      <c r="L102" s="147">
        <v>292</v>
      </c>
      <c r="M102" s="203" t="s">
        <v>18</v>
      </c>
      <c r="N102" s="102" t="s">
        <v>88</v>
      </c>
      <c r="O102" s="233">
        <v>99.5</v>
      </c>
      <c r="P102" s="207">
        <v>1</v>
      </c>
      <c r="Q102" s="232"/>
      <c r="R102" s="102"/>
      <c r="S102" s="102"/>
    </row>
    <row r="103" spans="1:19" s="172" customFormat="1" ht="14.25" customHeight="1">
      <c r="A103" s="172" t="s">
        <v>94</v>
      </c>
      <c r="B103" s="41" t="s">
        <v>89</v>
      </c>
      <c r="C103" s="102" t="s">
        <v>131</v>
      </c>
      <c r="D103" s="92">
        <v>-49.381347685025794</v>
      </c>
      <c r="E103" s="92">
        <v>-20.812636500000004</v>
      </c>
      <c r="F103" s="41">
        <v>2009</v>
      </c>
      <c r="G103" s="175" t="s">
        <v>90</v>
      </c>
      <c r="H103" s="41" t="s">
        <v>188</v>
      </c>
      <c r="I103" s="41" t="s">
        <v>91</v>
      </c>
      <c r="J103" s="102" t="s">
        <v>93</v>
      </c>
      <c r="K103" s="232">
        <v>600</v>
      </c>
      <c r="L103" s="147">
        <v>292</v>
      </c>
      <c r="M103" s="203" t="s">
        <v>18</v>
      </c>
      <c r="N103" s="102" t="s">
        <v>88</v>
      </c>
      <c r="O103" s="232">
        <v>99.724999999999994</v>
      </c>
      <c r="P103" s="207">
        <v>0</v>
      </c>
      <c r="Q103" s="232"/>
      <c r="R103" s="206"/>
      <c r="S103" s="206"/>
    </row>
    <row r="104" spans="1:19" s="172" customFormat="1" ht="14.25" customHeight="1">
      <c r="A104" s="172" t="s">
        <v>94</v>
      </c>
      <c r="B104" s="41" t="s">
        <v>89</v>
      </c>
      <c r="C104" s="234" t="s">
        <v>113</v>
      </c>
      <c r="D104" s="92">
        <v>-45.402680140543957</v>
      </c>
      <c r="E104" s="92">
        <v>-23.806687652148753</v>
      </c>
      <c r="F104" s="41">
        <v>2009</v>
      </c>
      <c r="G104" s="175" t="s">
        <v>90</v>
      </c>
      <c r="H104" s="41" t="s">
        <v>188</v>
      </c>
      <c r="I104" s="41" t="s">
        <v>91</v>
      </c>
      <c r="J104" s="102" t="s">
        <v>93</v>
      </c>
      <c r="K104" s="232">
        <v>600</v>
      </c>
      <c r="L104" s="147">
        <v>292</v>
      </c>
      <c r="M104" s="203" t="s">
        <v>18</v>
      </c>
      <c r="N104" s="102" t="s">
        <v>88</v>
      </c>
      <c r="O104" s="232">
        <v>99.7</v>
      </c>
      <c r="P104" s="207">
        <v>0</v>
      </c>
      <c r="Q104" s="232"/>
      <c r="R104" s="206"/>
      <c r="S104" s="206"/>
    </row>
    <row r="105" spans="1:19" s="172" customFormat="1" ht="14.25" customHeight="1">
      <c r="A105" s="172" t="s">
        <v>94</v>
      </c>
      <c r="B105" s="41" t="s">
        <v>89</v>
      </c>
      <c r="C105" s="234" t="s">
        <v>114</v>
      </c>
      <c r="D105" s="92">
        <v>-47.457853253204043</v>
      </c>
      <c r="E105" s="92">
        <v>-23.499323</v>
      </c>
      <c r="F105" s="41">
        <v>2009</v>
      </c>
      <c r="G105" s="175" t="s">
        <v>90</v>
      </c>
      <c r="H105" s="41" t="s">
        <v>188</v>
      </c>
      <c r="I105" s="41" t="s">
        <v>91</v>
      </c>
      <c r="J105" s="102" t="s">
        <v>93</v>
      </c>
      <c r="K105" s="232">
        <v>750</v>
      </c>
      <c r="L105" s="147">
        <v>292</v>
      </c>
      <c r="M105" s="203" t="s">
        <v>18</v>
      </c>
      <c r="N105" s="102" t="s">
        <v>88</v>
      </c>
      <c r="O105" s="233">
        <v>99.539999999999992</v>
      </c>
      <c r="P105" s="207">
        <v>1</v>
      </c>
      <c r="Q105" s="232"/>
      <c r="R105" s="252"/>
      <c r="S105" s="234"/>
    </row>
    <row r="106" spans="1:19" s="172" customFormat="1" ht="14.25" customHeight="1">
      <c r="A106" s="172" t="s">
        <v>94</v>
      </c>
      <c r="B106" s="41" t="s">
        <v>89</v>
      </c>
      <c r="C106" s="102" t="s">
        <v>146</v>
      </c>
      <c r="D106" s="92">
        <v>-54.58710248860465</v>
      </c>
      <c r="E106" s="92">
        <v>-25.542493279529253</v>
      </c>
      <c r="F106" s="41">
        <v>2009</v>
      </c>
      <c r="G106" s="175" t="s">
        <v>90</v>
      </c>
      <c r="H106" s="41" t="s">
        <v>188</v>
      </c>
      <c r="I106" s="41" t="s">
        <v>91</v>
      </c>
      <c r="J106" s="102" t="s">
        <v>93</v>
      </c>
      <c r="K106" s="232">
        <v>600</v>
      </c>
      <c r="L106" s="147">
        <v>292</v>
      </c>
      <c r="M106" s="203" t="s">
        <v>18</v>
      </c>
      <c r="N106" s="102" t="s">
        <v>88</v>
      </c>
      <c r="O106" s="232">
        <v>100</v>
      </c>
      <c r="P106" s="207">
        <v>0</v>
      </c>
      <c r="Q106" s="232"/>
      <c r="R106" s="206"/>
      <c r="S106" s="206"/>
    </row>
    <row r="107" spans="1:19" s="172" customFormat="1" ht="14.25" customHeight="1">
      <c r="A107" s="172" t="s">
        <v>94</v>
      </c>
      <c r="B107" s="41" t="s">
        <v>89</v>
      </c>
      <c r="C107" s="102" t="s">
        <v>138</v>
      </c>
      <c r="D107" s="92">
        <v>-51.939881870252066</v>
      </c>
      <c r="E107" s="92">
        <v>-23.422280000000004</v>
      </c>
      <c r="F107" s="41">
        <v>2009</v>
      </c>
      <c r="G107" s="175" t="s">
        <v>90</v>
      </c>
      <c r="H107" s="41" t="s">
        <v>188</v>
      </c>
      <c r="I107" s="41" t="s">
        <v>91</v>
      </c>
      <c r="J107" s="102" t="s">
        <v>93</v>
      </c>
      <c r="K107" s="232">
        <v>600</v>
      </c>
      <c r="L107" s="147">
        <v>292</v>
      </c>
      <c r="M107" s="203" t="s">
        <v>18</v>
      </c>
      <c r="N107" s="102" t="s">
        <v>88</v>
      </c>
      <c r="O107" s="232">
        <v>100</v>
      </c>
      <c r="P107" s="207">
        <v>0</v>
      </c>
      <c r="Q107" s="232"/>
      <c r="R107" s="206"/>
      <c r="S107" s="206"/>
    </row>
    <row r="108" spans="1:19" s="172" customFormat="1" ht="14.25" customHeight="1">
      <c r="A108" s="172" t="s">
        <v>94</v>
      </c>
      <c r="B108" s="41" t="s">
        <v>89</v>
      </c>
      <c r="C108" s="102" t="s">
        <v>153</v>
      </c>
      <c r="D108" s="92">
        <v>-48.208705251855818</v>
      </c>
      <c r="E108" s="92">
        <v>-7.191328939654956</v>
      </c>
      <c r="F108" s="41">
        <v>2009</v>
      </c>
      <c r="G108" s="175" t="s">
        <v>90</v>
      </c>
      <c r="H108" s="41" t="s">
        <v>188</v>
      </c>
      <c r="I108" s="41" t="s">
        <v>91</v>
      </c>
      <c r="J108" s="102" t="s">
        <v>93</v>
      </c>
      <c r="K108" s="232">
        <v>750</v>
      </c>
      <c r="L108" s="147">
        <v>292</v>
      </c>
      <c r="M108" s="203" t="s">
        <v>18</v>
      </c>
      <c r="N108" s="102" t="s">
        <v>88</v>
      </c>
      <c r="O108" s="233">
        <v>92.679999999999993</v>
      </c>
      <c r="P108" s="207">
        <v>0.9</v>
      </c>
      <c r="Q108" s="232"/>
      <c r="R108" s="206"/>
      <c r="S108" s="206"/>
    </row>
    <row r="109" spans="1:19" s="172" customFormat="1" ht="14.25" customHeight="1">
      <c r="A109" s="172" t="s">
        <v>94</v>
      </c>
      <c r="B109" s="41" t="s">
        <v>89</v>
      </c>
      <c r="C109" s="102" t="s">
        <v>139</v>
      </c>
      <c r="D109" s="92">
        <v>-48.351043708246195</v>
      </c>
      <c r="E109" s="92">
        <v>-10.16325332679275</v>
      </c>
      <c r="F109" s="41">
        <v>2009</v>
      </c>
      <c r="G109" s="175" t="s">
        <v>90</v>
      </c>
      <c r="H109" s="41" t="s">
        <v>188</v>
      </c>
      <c r="I109" s="41" t="s">
        <v>91</v>
      </c>
      <c r="J109" s="102" t="s">
        <v>93</v>
      </c>
      <c r="K109" s="232">
        <v>450</v>
      </c>
      <c r="L109" s="147">
        <v>292</v>
      </c>
      <c r="M109" s="203" t="s">
        <v>18</v>
      </c>
      <c r="N109" s="102" t="s">
        <v>88</v>
      </c>
      <c r="O109" s="233">
        <v>99.266666666666666</v>
      </c>
      <c r="P109" s="207">
        <v>0.1</v>
      </c>
      <c r="Q109" s="232"/>
      <c r="R109" s="206"/>
      <c r="S109" s="206"/>
    </row>
    <row r="110" spans="1:19" s="172" customFormat="1" ht="14.25" customHeight="1">
      <c r="A110" s="172" t="s">
        <v>94</v>
      </c>
      <c r="B110" s="41" t="s">
        <v>89</v>
      </c>
      <c r="C110" s="102" t="s">
        <v>144</v>
      </c>
      <c r="D110" s="92">
        <v>-47.887905478031342</v>
      </c>
      <c r="E110" s="92">
        <v>-15.794087361891002</v>
      </c>
      <c r="F110" s="41">
        <v>2009</v>
      </c>
      <c r="G110" s="175" t="s">
        <v>90</v>
      </c>
      <c r="H110" s="41" t="s">
        <v>188</v>
      </c>
      <c r="I110" s="41" t="s">
        <v>91</v>
      </c>
      <c r="J110" s="102" t="s">
        <v>93</v>
      </c>
      <c r="K110" s="232">
        <v>600</v>
      </c>
      <c r="L110" s="147">
        <v>292</v>
      </c>
      <c r="M110" s="203" t="s">
        <v>18</v>
      </c>
      <c r="N110" s="102" t="s">
        <v>88</v>
      </c>
      <c r="O110" s="232">
        <v>100</v>
      </c>
      <c r="P110" s="207">
        <v>0</v>
      </c>
      <c r="Q110" s="232"/>
      <c r="R110" s="206"/>
      <c r="S110" s="206"/>
    </row>
    <row r="111" spans="1:19" s="172" customFormat="1" ht="14.25" customHeight="1">
      <c r="A111" s="172" t="s">
        <v>94</v>
      </c>
      <c r="B111" s="41" t="s">
        <v>89</v>
      </c>
      <c r="C111" s="41" t="s">
        <v>154</v>
      </c>
      <c r="D111" s="92">
        <v>-48.037211274124623</v>
      </c>
      <c r="E111" s="92">
        <v>-16.056078214198152</v>
      </c>
      <c r="F111" s="41">
        <v>2009</v>
      </c>
      <c r="G111" s="175" t="s">
        <v>90</v>
      </c>
      <c r="H111" s="41" t="s">
        <v>188</v>
      </c>
      <c r="I111" s="41" t="s">
        <v>91</v>
      </c>
      <c r="J111" s="102" t="s">
        <v>93</v>
      </c>
      <c r="K111" s="234">
        <v>600</v>
      </c>
      <c r="L111" s="147">
        <v>292</v>
      </c>
      <c r="M111" s="203" t="s">
        <v>18</v>
      </c>
      <c r="N111" s="102" t="s">
        <v>88</v>
      </c>
      <c r="O111" s="234">
        <v>100</v>
      </c>
      <c r="P111" s="207">
        <v>0</v>
      </c>
      <c r="Q111" s="232"/>
      <c r="R111" s="206"/>
      <c r="S111" s="206"/>
    </row>
    <row r="112" spans="1:19" s="172" customFormat="1" ht="14.25" customHeight="1">
      <c r="A112" s="172" t="s">
        <v>94</v>
      </c>
      <c r="B112" s="41" t="s">
        <v>89</v>
      </c>
      <c r="C112" s="102" t="s">
        <v>155</v>
      </c>
      <c r="D112" s="92">
        <v>-47.614846766150798</v>
      </c>
      <c r="E112" s="92">
        <v>-15.453109564974401</v>
      </c>
      <c r="F112" s="41">
        <v>2009</v>
      </c>
      <c r="G112" s="175" t="s">
        <v>90</v>
      </c>
      <c r="H112" s="41" t="s">
        <v>188</v>
      </c>
      <c r="I112" s="41" t="s">
        <v>91</v>
      </c>
      <c r="J112" s="102" t="s">
        <v>93</v>
      </c>
      <c r="K112" s="234">
        <v>600</v>
      </c>
      <c r="L112" s="147">
        <v>292</v>
      </c>
      <c r="M112" s="203" t="s">
        <v>18</v>
      </c>
      <c r="N112" s="102" t="s">
        <v>88</v>
      </c>
      <c r="O112" s="234">
        <v>100</v>
      </c>
      <c r="P112" s="207">
        <v>0</v>
      </c>
      <c r="Q112" s="232"/>
      <c r="R112" s="206"/>
      <c r="S112" s="206"/>
    </row>
    <row r="113" spans="1:19" s="172" customFormat="1" ht="14.25" customHeight="1">
      <c r="A113" s="172" t="s">
        <v>94</v>
      </c>
      <c r="B113" s="41" t="s">
        <v>89</v>
      </c>
      <c r="C113" s="41" t="s">
        <v>156</v>
      </c>
      <c r="D113" s="96">
        <v>-39.043184286942569</v>
      </c>
      <c r="E113" s="96">
        <v>-14.793320269725204</v>
      </c>
      <c r="F113" s="41">
        <v>2009</v>
      </c>
      <c r="G113" s="175" t="s">
        <v>90</v>
      </c>
      <c r="H113" s="41" t="s">
        <v>188</v>
      </c>
      <c r="I113" s="41" t="s">
        <v>91</v>
      </c>
      <c r="J113" s="102" t="s">
        <v>93</v>
      </c>
      <c r="K113" s="234">
        <v>900</v>
      </c>
      <c r="L113" s="147">
        <v>292</v>
      </c>
      <c r="M113" s="203" t="s">
        <v>18</v>
      </c>
      <c r="N113" s="102" t="s">
        <v>88</v>
      </c>
      <c r="O113" s="233">
        <v>92.75</v>
      </c>
      <c r="P113" s="207">
        <v>0.9</v>
      </c>
      <c r="Q113" s="232"/>
      <c r="R113" s="206"/>
      <c r="S113" s="206"/>
    </row>
    <row r="114" spans="1:19" s="172" customFormat="1" ht="14.25" customHeight="1">
      <c r="A114" s="172" t="s">
        <v>94</v>
      </c>
      <c r="B114" s="41" t="s">
        <v>89</v>
      </c>
      <c r="C114" s="234" t="s">
        <v>157</v>
      </c>
      <c r="D114" s="96">
        <v>-40.088607327476304</v>
      </c>
      <c r="E114" s="96">
        <v>-13.855664007664052</v>
      </c>
      <c r="F114" s="41">
        <v>2009</v>
      </c>
      <c r="G114" s="175" t="s">
        <v>90</v>
      </c>
      <c r="H114" s="41" t="s">
        <v>188</v>
      </c>
      <c r="I114" s="41" t="s">
        <v>91</v>
      </c>
      <c r="J114" s="102" t="s">
        <v>93</v>
      </c>
      <c r="K114" s="234">
        <v>600</v>
      </c>
      <c r="L114" s="147">
        <v>292</v>
      </c>
      <c r="M114" s="203" t="s">
        <v>18</v>
      </c>
      <c r="N114" s="102" t="s">
        <v>88</v>
      </c>
      <c r="O114" s="233">
        <v>75.174999999999997</v>
      </c>
      <c r="P114" s="207">
        <v>22</v>
      </c>
      <c r="Q114" s="234"/>
      <c r="R114" s="206"/>
      <c r="S114" s="206"/>
    </row>
    <row r="115" spans="1:19" s="172" customFormat="1" ht="14.25" customHeight="1">
      <c r="A115" s="172" t="s">
        <v>94</v>
      </c>
      <c r="B115" s="41" t="s">
        <v>89</v>
      </c>
      <c r="C115" s="234" t="s">
        <v>149</v>
      </c>
      <c r="D115" s="96">
        <v>-40.513017627870106</v>
      </c>
      <c r="E115" s="96">
        <v>-11.185062160141854</v>
      </c>
      <c r="F115" s="41">
        <v>2009</v>
      </c>
      <c r="G115" s="175" t="s">
        <v>90</v>
      </c>
      <c r="H115" s="41" t="s">
        <v>188</v>
      </c>
      <c r="I115" s="41" t="s">
        <v>91</v>
      </c>
      <c r="J115" s="102" t="s">
        <v>93</v>
      </c>
      <c r="K115" s="234">
        <v>450</v>
      </c>
      <c r="L115" s="147">
        <v>292</v>
      </c>
      <c r="M115" s="203" t="s">
        <v>18</v>
      </c>
      <c r="N115" s="102" t="s">
        <v>88</v>
      </c>
      <c r="O115" s="233">
        <v>99.333333333333329</v>
      </c>
      <c r="P115" s="207">
        <v>0.6</v>
      </c>
      <c r="Q115" s="234"/>
      <c r="R115" s="206"/>
      <c r="S115" s="206"/>
    </row>
    <row r="116" spans="1:19" s="172" customFormat="1" ht="14.25" customHeight="1">
      <c r="A116" s="172" t="s">
        <v>94</v>
      </c>
      <c r="B116" s="41" t="s">
        <v>89</v>
      </c>
      <c r="C116" s="234" t="s">
        <v>148</v>
      </c>
      <c r="D116" s="92">
        <v>-45.004168437028525</v>
      </c>
      <c r="E116" s="92">
        <v>-12.144924888390602</v>
      </c>
      <c r="F116" s="41">
        <v>2009</v>
      </c>
      <c r="G116" s="175" t="s">
        <v>90</v>
      </c>
      <c r="H116" s="41" t="s">
        <v>188</v>
      </c>
      <c r="I116" s="41" t="s">
        <v>91</v>
      </c>
      <c r="J116" s="102" t="s">
        <v>93</v>
      </c>
      <c r="K116" s="234">
        <v>900</v>
      </c>
      <c r="L116" s="147">
        <v>292</v>
      </c>
      <c r="M116" s="203" t="s">
        <v>18</v>
      </c>
      <c r="N116" s="102" t="s">
        <v>88</v>
      </c>
      <c r="O116" s="233">
        <v>94.183333333333337</v>
      </c>
      <c r="P116" s="207">
        <v>0.7</v>
      </c>
      <c r="Q116" s="234"/>
      <c r="R116" s="206"/>
      <c r="S116" s="206"/>
    </row>
    <row r="117" spans="1:19" s="172" customFormat="1" ht="14.25" customHeight="1">
      <c r="A117" s="172" t="s">
        <v>94</v>
      </c>
      <c r="B117" s="41" t="s">
        <v>89</v>
      </c>
      <c r="C117" s="102" t="s">
        <v>132</v>
      </c>
      <c r="D117" s="228">
        <v>-47.776090000000003</v>
      </c>
      <c r="E117" s="228">
        <v>-15.90288</v>
      </c>
      <c r="F117" s="41">
        <v>2009</v>
      </c>
      <c r="G117" s="175" t="s">
        <v>90</v>
      </c>
      <c r="H117" s="41" t="s">
        <v>188</v>
      </c>
      <c r="I117" s="41" t="s">
        <v>91</v>
      </c>
      <c r="J117" s="102" t="s">
        <v>93</v>
      </c>
      <c r="K117" s="234">
        <v>600</v>
      </c>
      <c r="L117" s="147">
        <v>292</v>
      </c>
      <c r="M117" s="203" t="s">
        <v>18</v>
      </c>
      <c r="N117" s="102" t="s">
        <v>88</v>
      </c>
      <c r="O117" s="234">
        <v>99.7</v>
      </c>
      <c r="P117" s="207">
        <v>0.2</v>
      </c>
      <c r="Q117" s="234"/>
      <c r="R117" s="206"/>
      <c r="S117" s="206"/>
    </row>
    <row r="118" spans="1:19" s="172" customFormat="1" ht="14.25" customHeight="1" thickBot="1">
      <c r="A118" s="167" t="s">
        <v>94</v>
      </c>
      <c r="B118" s="167" t="s">
        <v>89</v>
      </c>
      <c r="C118" s="167" t="s">
        <v>143</v>
      </c>
      <c r="D118" s="241">
        <v>-47.472900000000003</v>
      </c>
      <c r="E118" s="241">
        <v>-15.3911</v>
      </c>
      <c r="F118" s="167">
        <v>2009</v>
      </c>
      <c r="G118" s="176" t="s">
        <v>90</v>
      </c>
      <c r="H118" s="167" t="s">
        <v>188</v>
      </c>
      <c r="I118" s="167" t="s">
        <v>91</v>
      </c>
      <c r="J118" s="104" t="s">
        <v>93</v>
      </c>
      <c r="K118" s="239">
        <v>750</v>
      </c>
      <c r="L118" s="177">
        <v>292</v>
      </c>
      <c r="M118" s="204" t="s">
        <v>18</v>
      </c>
      <c r="N118" s="104" t="s">
        <v>88</v>
      </c>
      <c r="O118" s="239">
        <v>99.6</v>
      </c>
      <c r="P118" s="177">
        <v>0.3</v>
      </c>
      <c r="Q118" s="234"/>
      <c r="R118" s="206"/>
      <c r="S118" s="206"/>
    </row>
    <row r="119" spans="1:19" s="172" customFormat="1" ht="14.25" customHeight="1">
      <c r="A119" s="41" t="s">
        <v>94</v>
      </c>
      <c r="B119" s="41" t="s">
        <v>89</v>
      </c>
      <c r="C119" s="194" t="s">
        <v>124</v>
      </c>
      <c r="D119" s="268"/>
      <c r="E119" s="269"/>
      <c r="F119" s="41">
        <v>2009</v>
      </c>
      <c r="G119" s="175" t="s">
        <v>90</v>
      </c>
      <c r="H119" s="41" t="s">
        <v>188</v>
      </c>
      <c r="I119" s="41" t="s">
        <v>91</v>
      </c>
      <c r="J119" s="172" t="s">
        <v>21</v>
      </c>
      <c r="K119" s="102">
        <v>600</v>
      </c>
      <c r="L119" s="207">
        <v>9</v>
      </c>
      <c r="M119" s="203" t="s">
        <v>18</v>
      </c>
      <c r="N119" s="102" t="s">
        <v>88</v>
      </c>
      <c r="O119" s="146">
        <v>100</v>
      </c>
      <c r="P119" s="207">
        <v>0</v>
      </c>
      <c r="Q119" s="234"/>
      <c r="R119" s="206"/>
      <c r="S119" s="206"/>
    </row>
    <row r="120" spans="1:19" s="172" customFormat="1" ht="14.25" customHeight="1">
      <c r="A120" s="41" t="s">
        <v>94</v>
      </c>
      <c r="B120" s="41" t="s">
        <v>89</v>
      </c>
      <c r="C120" s="231" t="s">
        <v>100</v>
      </c>
      <c r="D120" s="92">
        <v>-50.439226072752582</v>
      </c>
      <c r="E120" s="92">
        <v>-21.205476000000004</v>
      </c>
      <c r="F120" s="41">
        <v>2009</v>
      </c>
      <c r="G120" s="175" t="s">
        <v>90</v>
      </c>
      <c r="H120" s="41" t="s">
        <v>188</v>
      </c>
      <c r="I120" s="41" t="s">
        <v>91</v>
      </c>
      <c r="J120" s="172" t="s">
        <v>21</v>
      </c>
      <c r="K120" s="277">
        <v>600</v>
      </c>
      <c r="L120" s="207">
        <v>18</v>
      </c>
      <c r="M120" s="203" t="s">
        <v>18</v>
      </c>
      <c r="N120" s="102" t="s">
        <v>88</v>
      </c>
      <c r="O120" s="276">
        <v>38.125</v>
      </c>
      <c r="P120" s="147">
        <v>9.7936629170772047</v>
      </c>
      <c r="Q120" s="234"/>
      <c r="R120" s="206"/>
      <c r="S120" s="206"/>
    </row>
    <row r="121" spans="1:19" s="172" customFormat="1" ht="14.25" customHeight="1">
      <c r="A121" s="172" t="s">
        <v>94</v>
      </c>
      <c r="B121" s="41" t="s">
        <v>89</v>
      </c>
      <c r="C121" s="234" t="s">
        <v>101</v>
      </c>
      <c r="D121" s="92">
        <v>-48.567377839455055</v>
      </c>
      <c r="E121" s="92">
        <v>-20.558455515000002</v>
      </c>
      <c r="F121" s="41">
        <v>2009</v>
      </c>
      <c r="G121" s="175" t="s">
        <v>90</v>
      </c>
      <c r="H121" s="41" t="s">
        <v>188</v>
      </c>
      <c r="I121" s="41" t="s">
        <v>91</v>
      </c>
      <c r="J121" s="172" t="s">
        <v>21</v>
      </c>
      <c r="K121" s="232">
        <v>600</v>
      </c>
      <c r="L121" s="207">
        <v>18</v>
      </c>
      <c r="M121" s="203" t="s">
        <v>18</v>
      </c>
      <c r="N121" s="102" t="s">
        <v>88</v>
      </c>
      <c r="O121" s="233">
        <v>55.849999999999994</v>
      </c>
      <c r="P121" s="147">
        <v>15.14518625394444</v>
      </c>
      <c r="Q121" s="234"/>
      <c r="R121" s="206"/>
      <c r="S121" s="206"/>
    </row>
    <row r="122" spans="1:19" s="172" customFormat="1" ht="14.25" customHeight="1">
      <c r="A122" s="172" t="s">
        <v>94</v>
      </c>
      <c r="B122" s="41" t="s">
        <v>89</v>
      </c>
      <c r="C122" s="236" t="s">
        <v>102</v>
      </c>
      <c r="D122" s="92">
        <v>-49.083000867090362</v>
      </c>
      <c r="E122" s="92">
        <v>-22.325122500000006</v>
      </c>
      <c r="F122" s="41">
        <v>2009</v>
      </c>
      <c r="G122" s="175" t="s">
        <v>90</v>
      </c>
      <c r="H122" s="41" t="s">
        <v>188</v>
      </c>
      <c r="I122" s="41" t="s">
        <v>91</v>
      </c>
      <c r="J122" s="172" t="s">
        <v>21</v>
      </c>
      <c r="K122" s="232">
        <v>600</v>
      </c>
      <c r="L122" s="207">
        <v>18</v>
      </c>
      <c r="M122" s="203" t="s">
        <v>18</v>
      </c>
      <c r="N122" s="102" t="s">
        <v>88</v>
      </c>
      <c r="O122" s="233">
        <v>83.024999999999991</v>
      </c>
      <c r="P122" s="147">
        <v>4.3813049806345754</v>
      </c>
      <c r="Q122" s="206"/>
      <c r="R122" s="206"/>
      <c r="S122" s="206"/>
    </row>
    <row r="123" spans="1:19" s="172" customFormat="1" ht="14.25" customHeight="1">
      <c r="A123" s="172" t="s">
        <v>94</v>
      </c>
      <c r="B123" s="41" t="s">
        <v>89</v>
      </c>
      <c r="C123" s="102" t="s">
        <v>104</v>
      </c>
      <c r="D123" s="92">
        <v>-48.441289384350434</v>
      </c>
      <c r="E123" s="92">
        <v>-22.888381500000008</v>
      </c>
      <c r="F123" s="41">
        <v>2009</v>
      </c>
      <c r="G123" s="175" t="s">
        <v>90</v>
      </c>
      <c r="H123" s="41" t="s">
        <v>188</v>
      </c>
      <c r="I123" s="41" t="s">
        <v>91</v>
      </c>
      <c r="J123" s="172" t="s">
        <v>21</v>
      </c>
      <c r="K123" s="277">
        <v>600</v>
      </c>
      <c r="L123" s="207">
        <v>18</v>
      </c>
      <c r="M123" s="203" t="s">
        <v>18</v>
      </c>
      <c r="N123" s="102" t="s">
        <v>88</v>
      </c>
      <c r="O123" s="276">
        <v>53.625</v>
      </c>
      <c r="P123" s="147">
        <v>12.578917547494564</v>
      </c>
      <c r="Q123" s="206"/>
      <c r="R123" s="206"/>
      <c r="S123" s="206"/>
    </row>
    <row r="124" spans="1:19" s="172" customFormat="1" ht="14.25" customHeight="1">
      <c r="A124" s="172" t="s">
        <v>94</v>
      </c>
      <c r="B124" s="41" t="s">
        <v>89</v>
      </c>
      <c r="C124" s="234" t="s">
        <v>106</v>
      </c>
      <c r="D124" s="92">
        <v>-46.933372863488053</v>
      </c>
      <c r="E124" s="92">
        <v>-23.546934000000004</v>
      </c>
      <c r="F124" s="41">
        <v>2009</v>
      </c>
      <c r="G124" s="175" t="s">
        <v>90</v>
      </c>
      <c r="H124" s="41" t="s">
        <v>188</v>
      </c>
      <c r="I124" s="41" t="s">
        <v>91</v>
      </c>
      <c r="J124" s="172" t="s">
        <v>21</v>
      </c>
      <c r="K124" s="232">
        <v>600</v>
      </c>
      <c r="L124" s="207">
        <v>18</v>
      </c>
      <c r="M124" s="203" t="s">
        <v>18</v>
      </c>
      <c r="N124" s="102" t="s">
        <v>88</v>
      </c>
      <c r="O124" s="233">
        <v>63.924999999999997</v>
      </c>
      <c r="P124" s="147">
        <v>18.112127612919096</v>
      </c>
      <c r="Q124" s="206"/>
      <c r="R124" s="206"/>
      <c r="S124" s="206"/>
    </row>
    <row r="125" spans="1:19" s="172" customFormat="1" ht="14.25" customHeight="1">
      <c r="A125" s="172" t="s">
        <v>94</v>
      </c>
      <c r="B125" s="41" t="s">
        <v>89</v>
      </c>
      <c r="C125" s="234" t="s">
        <v>107</v>
      </c>
      <c r="D125" s="92">
        <v>-49.951645643103269</v>
      </c>
      <c r="E125" s="92">
        <v>-22.214933000000002</v>
      </c>
      <c r="F125" s="41">
        <v>2009</v>
      </c>
      <c r="G125" s="175" t="s">
        <v>90</v>
      </c>
      <c r="H125" s="41" t="s">
        <v>188</v>
      </c>
      <c r="I125" s="41" t="s">
        <v>91</v>
      </c>
      <c r="J125" s="172" t="s">
        <v>21</v>
      </c>
      <c r="K125" s="277">
        <v>900</v>
      </c>
      <c r="L125" s="207">
        <v>18</v>
      </c>
      <c r="M125" s="203" t="s">
        <v>18</v>
      </c>
      <c r="N125" s="102" t="s">
        <v>88</v>
      </c>
      <c r="O125" s="276">
        <v>81.333333333333329</v>
      </c>
      <c r="P125" s="147">
        <v>7.4338863770350079</v>
      </c>
      <c r="Q125" s="206"/>
      <c r="R125" s="206"/>
      <c r="S125" s="206"/>
    </row>
    <row r="126" spans="1:19" s="172" customFormat="1" ht="14.25" customHeight="1">
      <c r="A126" s="172" t="s">
        <v>94</v>
      </c>
      <c r="B126" s="41" t="s">
        <v>89</v>
      </c>
      <c r="C126" s="234" t="s">
        <v>108</v>
      </c>
      <c r="D126" s="92">
        <v>-51.386765581912492</v>
      </c>
      <c r="E126" s="92">
        <v>-22.122743500000002</v>
      </c>
      <c r="F126" s="41">
        <v>2009</v>
      </c>
      <c r="G126" s="175" t="s">
        <v>90</v>
      </c>
      <c r="H126" s="41" t="s">
        <v>188</v>
      </c>
      <c r="I126" s="41" t="s">
        <v>91</v>
      </c>
      <c r="J126" s="172" t="s">
        <v>21</v>
      </c>
      <c r="K126" s="277">
        <v>600</v>
      </c>
      <c r="L126" s="207">
        <v>18</v>
      </c>
      <c r="M126" s="203" t="s">
        <v>18</v>
      </c>
      <c r="N126" s="102" t="s">
        <v>88</v>
      </c>
      <c r="O126" s="276">
        <v>46.024999999999999</v>
      </c>
      <c r="P126" s="147">
        <v>8.8001420443081724</v>
      </c>
      <c r="Q126" s="206"/>
      <c r="R126" s="206"/>
      <c r="S126" s="206"/>
    </row>
    <row r="127" spans="1:19" s="172" customFormat="1" ht="14.25" customHeight="1">
      <c r="A127" s="172" t="s">
        <v>94</v>
      </c>
      <c r="B127" s="41" t="s">
        <v>89</v>
      </c>
      <c r="C127" s="234" t="s">
        <v>109</v>
      </c>
      <c r="D127" s="92">
        <v>-47.805475915541528</v>
      </c>
      <c r="E127" s="92">
        <v>-21.184834500000004</v>
      </c>
      <c r="F127" s="41">
        <v>2009</v>
      </c>
      <c r="G127" s="175" t="s">
        <v>90</v>
      </c>
      <c r="H127" s="41" t="s">
        <v>188</v>
      </c>
      <c r="I127" s="41" t="s">
        <v>91</v>
      </c>
      <c r="J127" s="172" t="s">
        <v>21</v>
      </c>
      <c r="K127" s="277">
        <v>600</v>
      </c>
      <c r="L127" s="207">
        <v>18</v>
      </c>
      <c r="M127" s="203" t="s">
        <v>18</v>
      </c>
      <c r="N127" s="102" t="s">
        <v>88</v>
      </c>
      <c r="O127" s="276">
        <v>49.099999999999994</v>
      </c>
      <c r="P127" s="147">
        <v>17.885375776501515</v>
      </c>
      <c r="Q127" s="206"/>
      <c r="R127" s="206"/>
      <c r="S127" s="206"/>
    </row>
    <row r="128" spans="1:19" s="172" customFormat="1" ht="14.25" customHeight="1">
      <c r="A128" s="172" t="s">
        <v>94</v>
      </c>
      <c r="B128" s="41" t="s">
        <v>89</v>
      </c>
      <c r="C128" s="102" t="s">
        <v>152</v>
      </c>
      <c r="D128" s="92">
        <v>-46.331370849190684</v>
      </c>
      <c r="E128" s="92">
        <v>-23.933737500000003</v>
      </c>
      <c r="F128" s="41">
        <v>2009</v>
      </c>
      <c r="G128" s="175" t="s">
        <v>90</v>
      </c>
      <c r="H128" s="41" t="s">
        <v>188</v>
      </c>
      <c r="I128" s="41" t="s">
        <v>91</v>
      </c>
      <c r="J128" s="172" t="s">
        <v>21</v>
      </c>
      <c r="K128" s="277">
        <v>600</v>
      </c>
      <c r="L128" s="207">
        <v>18</v>
      </c>
      <c r="M128" s="203" t="s">
        <v>18</v>
      </c>
      <c r="N128" s="102" t="s">
        <v>88</v>
      </c>
      <c r="O128" s="276">
        <v>58.024999999999999</v>
      </c>
      <c r="P128" s="147">
        <v>20.142223478719195</v>
      </c>
      <c r="Q128" s="206"/>
      <c r="R128" s="206"/>
      <c r="S128" s="206"/>
    </row>
    <row r="129" spans="1:19" s="172" customFormat="1" ht="14.25" customHeight="1">
      <c r="A129" s="172" t="s">
        <v>94</v>
      </c>
      <c r="B129" s="41" t="s">
        <v>89</v>
      </c>
      <c r="C129" s="102" t="s">
        <v>131</v>
      </c>
      <c r="D129" s="92">
        <v>-49.381347685025794</v>
      </c>
      <c r="E129" s="92">
        <v>-20.812636500000004</v>
      </c>
      <c r="F129" s="41">
        <v>2009</v>
      </c>
      <c r="G129" s="175" t="s">
        <v>90</v>
      </c>
      <c r="H129" s="41" t="s">
        <v>188</v>
      </c>
      <c r="I129" s="41" t="s">
        <v>91</v>
      </c>
      <c r="J129" s="172" t="s">
        <v>21</v>
      </c>
      <c r="K129" s="277">
        <v>600</v>
      </c>
      <c r="L129" s="207">
        <v>18</v>
      </c>
      <c r="M129" s="203" t="s">
        <v>18</v>
      </c>
      <c r="N129" s="102" t="s">
        <v>88</v>
      </c>
      <c r="O129" s="276">
        <v>47.350000000000009</v>
      </c>
      <c r="P129" s="147">
        <v>15.204714181244311</v>
      </c>
      <c r="Q129" s="102"/>
      <c r="R129" s="206"/>
      <c r="S129" s="206"/>
    </row>
    <row r="130" spans="1:19" s="172" customFormat="1" ht="14.25" customHeight="1">
      <c r="A130" s="172" t="s">
        <v>94</v>
      </c>
      <c r="B130" s="41" t="s">
        <v>89</v>
      </c>
      <c r="C130" s="234" t="s">
        <v>113</v>
      </c>
      <c r="D130" s="92">
        <v>-45.402680140543957</v>
      </c>
      <c r="E130" s="92">
        <v>-23.806687652148753</v>
      </c>
      <c r="F130" s="41">
        <v>2009</v>
      </c>
      <c r="G130" s="175" t="s">
        <v>90</v>
      </c>
      <c r="H130" s="41" t="s">
        <v>188</v>
      </c>
      <c r="I130" s="41" t="s">
        <v>91</v>
      </c>
      <c r="J130" s="172" t="s">
        <v>21</v>
      </c>
      <c r="K130" s="232">
        <v>600</v>
      </c>
      <c r="L130" s="207">
        <v>18</v>
      </c>
      <c r="M130" s="203" t="s">
        <v>18</v>
      </c>
      <c r="N130" s="102" t="s">
        <v>88</v>
      </c>
      <c r="O130" s="233">
        <v>55.725000000000001</v>
      </c>
      <c r="P130" s="147">
        <v>14.637024970942663</v>
      </c>
      <c r="Q130" s="102"/>
      <c r="R130" s="206"/>
      <c r="S130" s="206"/>
    </row>
    <row r="131" spans="1:19" s="172" customFormat="1" ht="14.25" customHeight="1">
      <c r="A131" s="172" t="s">
        <v>94</v>
      </c>
      <c r="B131" s="41" t="s">
        <v>89</v>
      </c>
      <c r="C131" s="234" t="s">
        <v>114</v>
      </c>
      <c r="D131" s="92">
        <v>-47.457853253204043</v>
      </c>
      <c r="E131" s="92">
        <v>-23.499323</v>
      </c>
      <c r="F131" s="41">
        <v>2009</v>
      </c>
      <c r="G131" s="175" t="s">
        <v>90</v>
      </c>
      <c r="H131" s="41" t="s">
        <v>188</v>
      </c>
      <c r="I131" s="41" t="s">
        <v>91</v>
      </c>
      <c r="J131" s="172" t="s">
        <v>21</v>
      </c>
      <c r="K131" s="232">
        <v>600</v>
      </c>
      <c r="L131" s="207">
        <v>18</v>
      </c>
      <c r="M131" s="203" t="s">
        <v>18</v>
      </c>
      <c r="N131" s="102" t="s">
        <v>88</v>
      </c>
      <c r="O131" s="233">
        <v>68.050000000000011</v>
      </c>
      <c r="P131" s="147">
        <v>5.1913389409669648</v>
      </c>
      <c r="Q131" s="102"/>
      <c r="R131" s="206"/>
      <c r="S131" s="206"/>
    </row>
    <row r="132" spans="1:19" s="206" customFormat="1" ht="14.25" customHeight="1">
      <c r="A132" s="206" t="s">
        <v>94</v>
      </c>
      <c r="B132" s="102" t="s">
        <v>89</v>
      </c>
      <c r="C132" s="102" t="s">
        <v>146</v>
      </c>
      <c r="D132" s="124">
        <v>-54.58710248860465</v>
      </c>
      <c r="E132" s="124">
        <v>-25.542493279529253</v>
      </c>
      <c r="F132" s="102">
        <v>2009</v>
      </c>
      <c r="G132" s="242" t="s">
        <v>90</v>
      </c>
      <c r="H132" s="102" t="s">
        <v>188</v>
      </c>
      <c r="I132" s="102" t="s">
        <v>91</v>
      </c>
      <c r="J132" s="206" t="s">
        <v>21</v>
      </c>
      <c r="K132" s="232">
        <v>600</v>
      </c>
      <c r="L132" s="147">
        <v>18</v>
      </c>
      <c r="M132" s="203" t="s">
        <v>18</v>
      </c>
      <c r="N132" s="102" t="s">
        <v>88</v>
      </c>
      <c r="O132" s="233">
        <v>57.024999999999999</v>
      </c>
      <c r="P132" s="147">
        <v>14.971612026320571</v>
      </c>
      <c r="Q132" s="102"/>
    </row>
    <row r="133" spans="1:19" s="206" customFormat="1" ht="14.25" customHeight="1">
      <c r="A133" s="102" t="s">
        <v>94</v>
      </c>
      <c r="B133" s="102" t="s">
        <v>89</v>
      </c>
      <c r="C133" s="102" t="s">
        <v>138</v>
      </c>
      <c r="D133" s="124">
        <v>-51.939881870252066</v>
      </c>
      <c r="E133" s="124">
        <v>-23.422280000000004</v>
      </c>
      <c r="F133" s="102">
        <v>2009</v>
      </c>
      <c r="G133" s="242" t="s">
        <v>90</v>
      </c>
      <c r="H133" s="102" t="s">
        <v>188</v>
      </c>
      <c r="I133" s="102" t="s">
        <v>91</v>
      </c>
      <c r="J133" s="206" t="s">
        <v>21</v>
      </c>
      <c r="K133" s="232">
        <v>600</v>
      </c>
      <c r="L133" s="147">
        <v>18</v>
      </c>
      <c r="M133" s="203" t="s">
        <v>18</v>
      </c>
      <c r="N133" s="102" t="s">
        <v>88</v>
      </c>
      <c r="O133" s="233">
        <v>80.875</v>
      </c>
      <c r="P133" s="147">
        <v>6.2919922653056917</v>
      </c>
      <c r="Q133" s="102"/>
    </row>
    <row r="134" spans="1:19" s="172" customFormat="1" ht="14.25" customHeight="1">
      <c r="A134" s="41" t="s">
        <v>94</v>
      </c>
      <c r="B134" s="41" t="s">
        <v>89</v>
      </c>
      <c r="C134" s="102" t="s">
        <v>153</v>
      </c>
      <c r="D134" s="92">
        <v>-48.208705251855818</v>
      </c>
      <c r="E134" s="92">
        <v>-7.191328939654956</v>
      </c>
      <c r="F134" s="41">
        <v>2009</v>
      </c>
      <c r="G134" s="175" t="s">
        <v>90</v>
      </c>
      <c r="H134" s="41" t="s">
        <v>188</v>
      </c>
      <c r="I134" s="41" t="s">
        <v>91</v>
      </c>
      <c r="J134" s="172" t="s">
        <v>21</v>
      </c>
      <c r="K134" s="232">
        <v>600</v>
      </c>
      <c r="L134" s="147">
        <v>18</v>
      </c>
      <c r="M134" s="203" t="s">
        <v>18</v>
      </c>
      <c r="N134" s="102" t="s">
        <v>88</v>
      </c>
      <c r="O134" s="233">
        <v>67.5</v>
      </c>
      <c r="P134" s="147">
        <v>9.2036224752359086</v>
      </c>
      <c r="Q134" s="102"/>
      <c r="R134" s="206"/>
      <c r="S134" s="206"/>
    </row>
    <row r="135" spans="1:19" s="172" customFormat="1" ht="14.25" customHeight="1">
      <c r="A135" s="41" t="s">
        <v>94</v>
      </c>
      <c r="B135" s="41" t="s">
        <v>89</v>
      </c>
      <c r="C135" s="102" t="s">
        <v>139</v>
      </c>
      <c r="D135" s="92">
        <v>-48.351043708246195</v>
      </c>
      <c r="E135" s="92">
        <v>-10.16325332679275</v>
      </c>
      <c r="F135" s="41">
        <v>2009</v>
      </c>
      <c r="G135" s="175" t="s">
        <v>90</v>
      </c>
      <c r="H135" s="41" t="s">
        <v>188</v>
      </c>
      <c r="I135" s="41" t="s">
        <v>91</v>
      </c>
      <c r="J135" s="172" t="s">
        <v>21</v>
      </c>
      <c r="K135" s="232">
        <v>600</v>
      </c>
      <c r="L135" s="147">
        <v>18</v>
      </c>
      <c r="M135" s="203" t="s">
        <v>18</v>
      </c>
      <c r="N135" s="102" t="s">
        <v>88</v>
      </c>
      <c r="O135" s="233">
        <v>15.850000000000001</v>
      </c>
      <c r="P135" s="147">
        <v>21.302660240761796</v>
      </c>
      <c r="Q135" s="102"/>
      <c r="R135" s="206"/>
      <c r="S135" s="206"/>
    </row>
    <row r="136" spans="1:19" s="172" customFormat="1" ht="14.25" customHeight="1">
      <c r="A136" s="41" t="s">
        <v>94</v>
      </c>
      <c r="B136" s="41" t="s">
        <v>89</v>
      </c>
      <c r="C136" s="102" t="s">
        <v>144</v>
      </c>
      <c r="D136" s="92">
        <v>-47.887905478031342</v>
      </c>
      <c r="E136" s="92">
        <v>-15.794087361891002</v>
      </c>
      <c r="F136" s="41">
        <v>2009</v>
      </c>
      <c r="G136" s="175" t="s">
        <v>90</v>
      </c>
      <c r="H136" s="41" t="s">
        <v>188</v>
      </c>
      <c r="I136" s="41" t="s">
        <v>91</v>
      </c>
      <c r="J136" s="172" t="s">
        <v>21</v>
      </c>
      <c r="K136" s="232">
        <v>600</v>
      </c>
      <c r="L136" s="147">
        <v>18</v>
      </c>
      <c r="M136" s="203" t="s">
        <v>18</v>
      </c>
      <c r="N136" s="102" t="s">
        <v>88</v>
      </c>
      <c r="O136" s="233">
        <v>77.349999999999994</v>
      </c>
      <c r="P136" s="147">
        <v>11.258330249197757</v>
      </c>
      <c r="Q136" s="146"/>
      <c r="R136" s="206"/>
      <c r="S136" s="206"/>
    </row>
    <row r="137" spans="1:19" s="172" customFormat="1" ht="14.25" customHeight="1">
      <c r="A137" s="41" t="s">
        <v>94</v>
      </c>
      <c r="B137" s="41" t="s">
        <v>89</v>
      </c>
      <c r="C137" s="41" t="s">
        <v>154</v>
      </c>
      <c r="D137" s="92">
        <v>-48.037211274124623</v>
      </c>
      <c r="E137" s="92">
        <v>-16.056078214198152</v>
      </c>
      <c r="F137" s="41">
        <v>2009</v>
      </c>
      <c r="G137" s="175" t="s">
        <v>90</v>
      </c>
      <c r="H137" s="41" t="s">
        <v>188</v>
      </c>
      <c r="I137" s="41" t="s">
        <v>91</v>
      </c>
      <c r="J137" s="172" t="s">
        <v>21</v>
      </c>
      <c r="K137" s="234">
        <v>600</v>
      </c>
      <c r="L137" s="147">
        <v>18</v>
      </c>
      <c r="M137" s="203" t="s">
        <v>18</v>
      </c>
      <c r="N137" s="102" t="s">
        <v>88</v>
      </c>
      <c r="O137" s="233">
        <v>15.850000000000001</v>
      </c>
      <c r="P137" s="147">
        <v>21.302660240761796</v>
      </c>
      <c r="Q137" s="146"/>
      <c r="R137" s="206"/>
      <c r="S137" s="206"/>
    </row>
    <row r="138" spans="1:19" s="172" customFormat="1" ht="14.25" customHeight="1">
      <c r="A138" s="41" t="s">
        <v>94</v>
      </c>
      <c r="B138" s="41" t="s">
        <v>89</v>
      </c>
      <c r="C138" s="102" t="s">
        <v>155</v>
      </c>
      <c r="D138" s="92">
        <v>-47.614846766150798</v>
      </c>
      <c r="E138" s="92">
        <v>-15.453109564974401</v>
      </c>
      <c r="F138" s="41">
        <v>2009</v>
      </c>
      <c r="G138" s="175" t="s">
        <v>90</v>
      </c>
      <c r="H138" s="41" t="s">
        <v>188</v>
      </c>
      <c r="I138" s="41" t="s">
        <v>91</v>
      </c>
      <c r="J138" s="172" t="s">
        <v>21</v>
      </c>
      <c r="K138" s="234">
        <v>450</v>
      </c>
      <c r="L138" s="147">
        <v>18</v>
      </c>
      <c r="M138" s="203" t="s">
        <v>18</v>
      </c>
      <c r="N138" s="102" t="s">
        <v>88</v>
      </c>
      <c r="O138" s="233">
        <v>62.839999999999996</v>
      </c>
      <c r="P138" s="147">
        <v>3.7618080759124379</v>
      </c>
      <c r="Q138" s="146"/>
      <c r="R138" s="206"/>
      <c r="S138" s="206"/>
    </row>
    <row r="139" spans="1:19" s="172" customFormat="1" ht="14.25" customHeight="1">
      <c r="A139" s="41" t="s">
        <v>94</v>
      </c>
      <c r="B139" s="41" t="s">
        <v>89</v>
      </c>
      <c r="C139" s="41" t="s">
        <v>156</v>
      </c>
      <c r="D139" s="96">
        <v>-39.043184286942569</v>
      </c>
      <c r="E139" s="96">
        <v>-14.793320269725204</v>
      </c>
      <c r="F139" s="41">
        <v>2009</v>
      </c>
      <c r="G139" s="175" t="s">
        <v>90</v>
      </c>
      <c r="H139" s="41" t="s">
        <v>188</v>
      </c>
      <c r="I139" s="41" t="s">
        <v>91</v>
      </c>
      <c r="J139" s="172" t="s">
        <v>21</v>
      </c>
      <c r="K139" s="234">
        <v>600</v>
      </c>
      <c r="L139" s="147">
        <v>18</v>
      </c>
      <c r="M139" s="203" t="s">
        <v>18</v>
      </c>
      <c r="N139" s="102" t="s">
        <v>88</v>
      </c>
      <c r="O139" s="233">
        <v>72.09375</v>
      </c>
      <c r="P139" s="147">
        <v>2.4863376681376108</v>
      </c>
      <c r="Q139" s="146"/>
      <c r="R139" s="206"/>
      <c r="S139" s="206"/>
    </row>
    <row r="140" spans="1:19" s="172" customFormat="1" ht="14.25" customHeight="1">
      <c r="A140" s="41" t="s">
        <v>94</v>
      </c>
      <c r="B140" s="41" t="s">
        <v>89</v>
      </c>
      <c r="C140" s="234" t="s">
        <v>157</v>
      </c>
      <c r="D140" s="96">
        <v>-40.088607327476304</v>
      </c>
      <c r="E140" s="96">
        <v>-13.855664007664052</v>
      </c>
      <c r="F140" s="41">
        <v>2009</v>
      </c>
      <c r="G140" s="175" t="s">
        <v>90</v>
      </c>
      <c r="H140" s="41" t="s">
        <v>188</v>
      </c>
      <c r="I140" s="41" t="s">
        <v>91</v>
      </c>
      <c r="J140" s="172" t="s">
        <v>21</v>
      </c>
      <c r="K140" s="234">
        <v>600</v>
      </c>
      <c r="L140" s="147">
        <v>18</v>
      </c>
      <c r="M140" s="203" t="s">
        <v>18</v>
      </c>
      <c r="N140" s="102" t="s">
        <v>88</v>
      </c>
      <c r="O140" s="233">
        <v>50.35</v>
      </c>
      <c r="P140" s="147">
        <v>14.970303938130314</v>
      </c>
      <c r="Q140" s="102"/>
      <c r="R140" s="206"/>
      <c r="S140" s="206"/>
    </row>
    <row r="141" spans="1:19" s="172" customFormat="1" ht="14.25" customHeight="1">
      <c r="A141" s="41" t="s">
        <v>94</v>
      </c>
      <c r="B141" s="41" t="s">
        <v>89</v>
      </c>
      <c r="C141" s="234" t="s">
        <v>149</v>
      </c>
      <c r="D141" s="96">
        <v>-40.513017627870106</v>
      </c>
      <c r="E141" s="96">
        <v>-11.185062160141854</v>
      </c>
      <c r="F141" s="41">
        <v>2009</v>
      </c>
      <c r="G141" s="175" t="s">
        <v>90</v>
      </c>
      <c r="H141" s="41" t="s">
        <v>188</v>
      </c>
      <c r="I141" s="41" t="s">
        <v>91</v>
      </c>
      <c r="J141" s="172" t="s">
        <v>21</v>
      </c>
      <c r="K141" s="234">
        <v>750</v>
      </c>
      <c r="L141" s="147">
        <v>18</v>
      </c>
      <c r="M141" s="203" t="s">
        <v>18</v>
      </c>
      <c r="N141" s="102" t="s">
        <v>88</v>
      </c>
      <c r="O141" s="233">
        <v>86.72</v>
      </c>
      <c r="P141" s="147">
        <v>12</v>
      </c>
      <c r="Q141" s="146"/>
      <c r="R141" s="206"/>
      <c r="S141" s="206"/>
    </row>
    <row r="142" spans="1:19" s="172" customFormat="1" ht="14.25" customHeight="1">
      <c r="A142" s="41" t="s">
        <v>94</v>
      </c>
      <c r="B142" s="41" t="s">
        <v>89</v>
      </c>
      <c r="C142" s="234" t="s">
        <v>148</v>
      </c>
      <c r="D142" s="92">
        <v>-45.004168437028525</v>
      </c>
      <c r="E142" s="92">
        <v>-12.144924888390602</v>
      </c>
      <c r="F142" s="41">
        <v>2009</v>
      </c>
      <c r="G142" s="175" t="s">
        <v>90</v>
      </c>
      <c r="H142" s="41" t="s">
        <v>188</v>
      </c>
      <c r="I142" s="41" t="s">
        <v>91</v>
      </c>
      <c r="J142" s="172" t="s">
        <v>21</v>
      </c>
      <c r="K142" s="234">
        <v>750</v>
      </c>
      <c r="L142" s="147">
        <v>18</v>
      </c>
      <c r="M142" s="203" t="s">
        <v>18</v>
      </c>
      <c r="N142" s="102" t="s">
        <v>88</v>
      </c>
      <c r="O142" s="233">
        <v>93.68</v>
      </c>
      <c r="P142" s="207">
        <v>6.2</v>
      </c>
      <c r="Q142" s="146"/>
      <c r="R142" s="206"/>
      <c r="S142" s="206"/>
    </row>
    <row r="143" spans="1:19" s="172" customFormat="1" ht="14.25" customHeight="1">
      <c r="A143" s="41" t="s">
        <v>94</v>
      </c>
      <c r="B143" s="41" t="s">
        <v>89</v>
      </c>
      <c r="C143" s="102" t="s">
        <v>132</v>
      </c>
      <c r="D143" s="228">
        <v>-47.776090000000003</v>
      </c>
      <c r="E143" s="228">
        <v>-15.90288</v>
      </c>
      <c r="F143" s="41">
        <v>2009</v>
      </c>
      <c r="G143" s="175" t="s">
        <v>90</v>
      </c>
      <c r="H143" s="41" t="s">
        <v>188</v>
      </c>
      <c r="I143" s="41" t="s">
        <v>91</v>
      </c>
      <c r="J143" s="172" t="s">
        <v>21</v>
      </c>
      <c r="K143" s="234">
        <v>750</v>
      </c>
      <c r="L143" s="147">
        <v>18</v>
      </c>
      <c r="M143" s="203" t="s">
        <v>18</v>
      </c>
      <c r="N143" s="102" t="s">
        <v>88</v>
      </c>
      <c r="O143" s="233">
        <v>89.24</v>
      </c>
      <c r="P143" s="207">
        <v>9.8000000000000007</v>
      </c>
      <c r="Q143" s="146"/>
      <c r="R143" s="206"/>
      <c r="S143" s="206"/>
    </row>
    <row r="144" spans="1:19" s="172" customFormat="1" ht="14.25" customHeight="1" thickBot="1">
      <c r="A144" s="167" t="s">
        <v>94</v>
      </c>
      <c r="B144" s="167" t="s">
        <v>89</v>
      </c>
      <c r="C144" s="167" t="s">
        <v>143</v>
      </c>
      <c r="D144" s="241">
        <v>-47.472900000000003</v>
      </c>
      <c r="E144" s="241">
        <v>-15.3911</v>
      </c>
      <c r="F144" s="167">
        <v>2009</v>
      </c>
      <c r="G144" s="176" t="s">
        <v>90</v>
      </c>
      <c r="H144" s="167" t="s">
        <v>188</v>
      </c>
      <c r="I144" s="167" t="s">
        <v>91</v>
      </c>
      <c r="J144" s="167" t="s">
        <v>21</v>
      </c>
      <c r="K144" s="239">
        <v>750</v>
      </c>
      <c r="L144" s="177">
        <v>18</v>
      </c>
      <c r="M144" s="204" t="s">
        <v>18</v>
      </c>
      <c r="N144" s="104" t="s">
        <v>88</v>
      </c>
      <c r="O144" s="239">
        <v>88.5</v>
      </c>
      <c r="P144" s="177">
        <v>4.7</v>
      </c>
      <c r="Q144" s="146"/>
      <c r="R144" s="206"/>
      <c r="S144" s="206"/>
    </row>
    <row r="145" spans="1:19" s="172" customFormat="1" ht="14.25" customHeight="1">
      <c r="A145" s="41" t="s">
        <v>94</v>
      </c>
      <c r="B145" s="41" t="s">
        <v>89</v>
      </c>
      <c r="C145" s="194" t="s">
        <v>124</v>
      </c>
      <c r="D145" s="268"/>
      <c r="E145" s="269"/>
      <c r="F145" s="41">
        <v>2009</v>
      </c>
      <c r="G145" s="175" t="s">
        <v>90</v>
      </c>
      <c r="H145" s="41" t="s">
        <v>188</v>
      </c>
      <c r="I145" s="41" t="s">
        <v>43</v>
      </c>
      <c r="J145" s="41" t="s">
        <v>21</v>
      </c>
      <c r="K145" s="234"/>
      <c r="L145" s="147"/>
      <c r="M145" s="102" t="s">
        <v>11</v>
      </c>
      <c r="N145" s="102" t="s">
        <v>38</v>
      </c>
      <c r="O145" s="234">
        <v>100</v>
      </c>
      <c r="P145" s="206"/>
      <c r="Q145" s="146"/>
      <c r="R145" s="206"/>
      <c r="S145" s="206"/>
    </row>
    <row r="146" spans="1:19" ht="14.25" customHeight="1">
      <c r="A146" s="41" t="s">
        <v>94</v>
      </c>
      <c r="B146" s="41" t="s">
        <v>89</v>
      </c>
      <c r="C146" s="102" t="s">
        <v>100</v>
      </c>
      <c r="D146" s="92">
        <v>-50.439226072752582</v>
      </c>
      <c r="E146" s="92">
        <v>-21.205476000000004</v>
      </c>
      <c r="F146" s="41">
        <v>2009</v>
      </c>
      <c r="G146" s="175" t="s">
        <v>90</v>
      </c>
      <c r="H146" s="172" t="s">
        <v>188</v>
      </c>
      <c r="I146" s="41" t="s">
        <v>43</v>
      </c>
      <c r="J146" s="41" t="s">
        <v>21</v>
      </c>
      <c r="K146" s="102">
        <v>305</v>
      </c>
      <c r="L146" s="207">
        <v>5</v>
      </c>
      <c r="M146" s="102" t="s">
        <v>11</v>
      </c>
      <c r="N146" s="102" t="s">
        <v>38</v>
      </c>
      <c r="O146" s="102">
        <v>74.599999999999994</v>
      </c>
    </row>
    <row r="147" spans="1:19" ht="14.25" customHeight="1">
      <c r="A147" s="41" t="s">
        <v>94</v>
      </c>
      <c r="B147" s="41" t="s">
        <v>89</v>
      </c>
      <c r="C147" s="102" t="s">
        <v>101</v>
      </c>
      <c r="D147" s="92">
        <v>-48.567377839455055</v>
      </c>
      <c r="E147" s="92">
        <v>-20.558455515000002</v>
      </c>
      <c r="F147" s="41">
        <v>2009</v>
      </c>
      <c r="G147" s="175" t="s">
        <v>90</v>
      </c>
      <c r="H147" s="41" t="s">
        <v>188</v>
      </c>
      <c r="I147" s="41" t="s">
        <v>43</v>
      </c>
      <c r="J147" s="41" t="s">
        <v>21</v>
      </c>
      <c r="K147" s="102">
        <v>349</v>
      </c>
      <c r="L147" s="207">
        <v>5</v>
      </c>
      <c r="M147" s="102" t="s">
        <v>11</v>
      </c>
      <c r="N147" s="102" t="s">
        <v>38</v>
      </c>
      <c r="O147" s="147">
        <v>67.775000000000006</v>
      </c>
      <c r="Q147" s="102"/>
      <c r="R147" s="102"/>
      <c r="S147" s="102"/>
    </row>
    <row r="148" spans="1:19" ht="14.25" customHeight="1">
      <c r="A148" s="41" t="s">
        <v>94</v>
      </c>
      <c r="B148" s="41" t="s">
        <v>89</v>
      </c>
      <c r="C148" s="102" t="s">
        <v>102</v>
      </c>
      <c r="D148" s="92">
        <v>-49.083000867090362</v>
      </c>
      <c r="E148" s="92">
        <v>-22.325122500000006</v>
      </c>
      <c r="F148" s="41">
        <v>2009</v>
      </c>
      <c r="G148" s="175" t="s">
        <v>90</v>
      </c>
      <c r="H148" s="41" t="s">
        <v>188</v>
      </c>
      <c r="I148" s="41" t="s">
        <v>43</v>
      </c>
      <c r="J148" s="41" t="s">
        <v>21</v>
      </c>
      <c r="K148" s="102">
        <v>189</v>
      </c>
      <c r="L148" s="207">
        <v>5</v>
      </c>
      <c r="M148" s="102" t="s">
        <v>11</v>
      </c>
      <c r="N148" s="102" t="s">
        <v>38</v>
      </c>
      <c r="O148" s="147">
        <v>90.65</v>
      </c>
      <c r="Q148" s="102"/>
      <c r="R148" s="147"/>
      <c r="S148" s="102"/>
    </row>
    <row r="149" spans="1:19" ht="14.25" customHeight="1">
      <c r="A149" s="41" t="s">
        <v>94</v>
      </c>
      <c r="B149" s="41" t="s">
        <v>89</v>
      </c>
      <c r="C149" s="102" t="s">
        <v>104</v>
      </c>
      <c r="D149" s="92">
        <v>-48.441289384350434</v>
      </c>
      <c r="E149" s="92">
        <v>-22.888381500000008</v>
      </c>
      <c r="F149" s="41">
        <v>2009</v>
      </c>
      <c r="G149" s="175" t="s">
        <v>90</v>
      </c>
      <c r="H149" s="41" t="s">
        <v>188</v>
      </c>
      <c r="I149" s="41" t="s">
        <v>43</v>
      </c>
      <c r="J149" s="41" t="s">
        <v>21</v>
      </c>
      <c r="K149" s="102">
        <v>323</v>
      </c>
      <c r="L149" s="207">
        <v>5</v>
      </c>
      <c r="M149" s="102" t="s">
        <v>11</v>
      </c>
      <c r="N149" s="102" t="s">
        <v>38</v>
      </c>
      <c r="O149" s="147">
        <v>76.5</v>
      </c>
      <c r="Q149" s="102"/>
      <c r="R149" s="147"/>
      <c r="S149" s="102"/>
    </row>
    <row r="150" spans="1:19" ht="14.25" customHeight="1">
      <c r="A150" s="41" t="s">
        <v>94</v>
      </c>
      <c r="B150" s="41" t="s">
        <v>89</v>
      </c>
      <c r="C150" s="102" t="s">
        <v>106</v>
      </c>
      <c r="D150" s="92">
        <v>-46.933372863488053</v>
      </c>
      <c r="E150" s="92">
        <v>-23.546934000000004</v>
      </c>
      <c r="F150" s="41">
        <v>2009</v>
      </c>
      <c r="G150" s="175" t="s">
        <v>90</v>
      </c>
      <c r="H150" s="41" t="s">
        <v>188</v>
      </c>
      <c r="I150" s="41" t="s">
        <v>43</v>
      </c>
      <c r="J150" s="41" t="s">
        <v>21</v>
      </c>
      <c r="K150" s="102">
        <v>258</v>
      </c>
      <c r="L150" s="207">
        <v>5</v>
      </c>
      <c r="M150" s="102" t="s">
        <v>11</v>
      </c>
      <c r="N150" s="102" t="s">
        <v>38</v>
      </c>
      <c r="O150" s="147">
        <v>78.7</v>
      </c>
      <c r="Q150" s="102"/>
      <c r="R150" s="147"/>
      <c r="S150" s="102"/>
    </row>
    <row r="151" spans="1:19" ht="14.25" customHeight="1">
      <c r="A151" s="41" t="s">
        <v>94</v>
      </c>
      <c r="B151" s="41" t="s">
        <v>89</v>
      </c>
      <c r="C151" s="102" t="s">
        <v>107</v>
      </c>
      <c r="D151" s="92">
        <v>-49.951645643103269</v>
      </c>
      <c r="E151" s="92">
        <v>-22.214933000000002</v>
      </c>
      <c r="F151" s="41">
        <v>2009</v>
      </c>
      <c r="G151" s="175" t="s">
        <v>90</v>
      </c>
      <c r="H151" s="41" t="s">
        <v>188</v>
      </c>
      <c r="I151" s="41" t="s">
        <v>43</v>
      </c>
      <c r="J151" s="41" t="s">
        <v>21</v>
      </c>
      <c r="K151" s="102">
        <v>311</v>
      </c>
      <c r="L151" s="207">
        <v>5</v>
      </c>
      <c r="M151" s="102" t="s">
        <v>11</v>
      </c>
      <c r="N151" s="102" t="s">
        <v>38</v>
      </c>
      <c r="O151" s="147">
        <v>79.125</v>
      </c>
      <c r="Q151" s="102"/>
      <c r="R151" s="147"/>
      <c r="S151" s="102"/>
    </row>
    <row r="152" spans="1:19" ht="14.25" customHeight="1">
      <c r="A152" s="41" t="s">
        <v>94</v>
      </c>
      <c r="B152" s="41" t="s">
        <v>89</v>
      </c>
      <c r="C152" s="102" t="s">
        <v>108</v>
      </c>
      <c r="D152" s="92">
        <v>-51.386765581912492</v>
      </c>
      <c r="E152" s="92">
        <v>-22.122743500000002</v>
      </c>
      <c r="F152" s="41">
        <v>2009</v>
      </c>
      <c r="G152" s="175" t="s">
        <v>90</v>
      </c>
      <c r="H152" s="41" t="s">
        <v>188</v>
      </c>
      <c r="I152" s="41" t="s">
        <v>43</v>
      </c>
      <c r="J152" s="41" t="s">
        <v>21</v>
      </c>
      <c r="K152" s="102">
        <v>204</v>
      </c>
      <c r="L152" s="207">
        <v>5</v>
      </c>
      <c r="M152" s="102" t="s">
        <v>11</v>
      </c>
      <c r="N152" s="102" t="s">
        <v>38</v>
      </c>
      <c r="O152" s="147">
        <v>44.725000000000001</v>
      </c>
      <c r="Q152" s="102"/>
      <c r="R152" s="147"/>
      <c r="S152" s="102"/>
    </row>
    <row r="153" spans="1:19" ht="14.25" customHeight="1">
      <c r="A153" s="41" t="s">
        <v>94</v>
      </c>
      <c r="B153" s="41" t="s">
        <v>89</v>
      </c>
      <c r="C153" s="102" t="s">
        <v>109</v>
      </c>
      <c r="D153" s="92">
        <v>-47.805475915541528</v>
      </c>
      <c r="E153" s="92">
        <v>-21.184834500000004</v>
      </c>
      <c r="F153" s="41">
        <v>2009</v>
      </c>
      <c r="G153" s="175" t="s">
        <v>90</v>
      </c>
      <c r="H153" s="41" t="s">
        <v>188</v>
      </c>
      <c r="I153" s="41" t="s">
        <v>43</v>
      </c>
      <c r="J153" s="41" t="s">
        <v>21</v>
      </c>
      <c r="K153" s="102">
        <v>202</v>
      </c>
      <c r="L153" s="207">
        <v>5</v>
      </c>
      <c r="M153" s="102" t="s">
        <v>11</v>
      </c>
      <c r="N153" s="102" t="s">
        <v>38</v>
      </c>
      <c r="O153" s="147">
        <v>68.149999999999991</v>
      </c>
      <c r="Q153" s="102"/>
      <c r="R153" s="147"/>
      <c r="S153" s="102"/>
    </row>
    <row r="154" spans="1:19" ht="14.25" customHeight="1">
      <c r="A154" s="41" t="s">
        <v>94</v>
      </c>
      <c r="B154" s="41" t="s">
        <v>89</v>
      </c>
      <c r="C154" s="102" t="s">
        <v>152</v>
      </c>
      <c r="D154" s="92">
        <v>-46.331370849190684</v>
      </c>
      <c r="E154" s="92">
        <v>-23.933737500000003</v>
      </c>
      <c r="F154" s="41">
        <v>2009</v>
      </c>
      <c r="G154" s="175" t="s">
        <v>90</v>
      </c>
      <c r="H154" s="41" t="s">
        <v>188</v>
      </c>
      <c r="I154" s="41" t="s">
        <v>43</v>
      </c>
      <c r="J154" s="41" t="s">
        <v>21</v>
      </c>
      <c r="K154" s="102">
        <v>289</v>
      </c>
      <c r="L154" s="207">
        <v>5</v>
      </c>
      <c r="M154" s="102" t="s">
        <v>11</v>
      </c>
      <c r="N154" s="102" t="s">
        <v>38</v>
      </c>
      <c r="O154" s="147">
        <v>63.4</v>
      </c>
      <c r="Q154" s="102"/>
      <c r="R154" s="147"/>
      <c r="S154" s="102"/>
    </row>
    <row r="155" spans="1:19" ht="14.25" customHeight="1">
      <c r="A155" s="41" t="s">
        <v>94</v>
      </c>
      <c r="B155" s="41" t="s">
        <v>89</v>
      </c>
      <c r="C155" s="102" t="s">
        <v>113</v>
      </c>
      <c r="D155" s="92">
        <v>-45.402680140543957</v>
      </c>
      <c r="E155" s="92">
        <v>-23.806687652148753</v>
      </c>
      <c r="F155" s="41">
        <v>2009</v>
      </c>
      <c r="G155" s="175" t="s">
        <v>90</v>
      </c>
      <c r="H155" s="41" t="s">
        <v>188</v>
      </c>
      <c r="I155" s="41" t="s">
        <v>43</v>
      </c>
      <c r="J155" s="41" t="s">
        <v>21</v>
      </c>
      <c r="K155" s="102">
        <v>250</v>
      </c>
      <c r="L155" s="207">
        <v>5</v>
      </c>
      <c r="M155" s="102" t="s">
        <v>11</v>
      </c>
      <c r="N155" s="102" t="s">
        <v>38</v>
      </c>
      <c r="O155" s="102">
        <v>76.900000000000006</v>
      </c>
      <c r="Q155" s="102"/>
      <c r="R155" s="147"/>
      <c r="S155" s="102"/>
    </row>
    <row r="156" spans="1:19" ht="14.25" customHeight="1">
      <c r="A156" s="41" t="s">
        <v>94</v>
      </c>
      <c r="B156" s="41" t="s">
        <v>89</v>
      </c>
      <c r="C156" s="102" t="s">
        <v>131</v>
      </c>
      <c r="D156" s="92">
        <v>-49.381347685025794</v>
      </c>
      <c r="E156" s="92">
        <v>-20.812636500000004</v>
      </c>
      <c r="F156" s="41">
        <v>2009</v>
      </c>
      <c r="G156" s="175" t="s">
        <v>90</v>
      </c>
      <c r="H156" s="41" t="s">
        <v>188</v>
      </c>
      <c r="I156" s="41" t="s">
        <v>43</v>
      </c>
      <c r="J156" s="41" t="s">
        <v>21</v>
      </c>
      <c r="K156" s="102">
        <v>276</v>
      </c>
      <c r="L156" s="207">
        <v>5</v>
      </c>
      <c r="M156" s="102" t="s">
        <v>11</v>
      </c>
      <c r="N156" s="102" t="s">
        <v>38</v>
      </c>
      <c r="O156" s="102">
        <v>49.900000000000006</v>
      </c>
      <c r="Q156" s="102"/>
      <c r="R156" s="102"/>
      <c r="S156" s="102"/>
    </row>
    <row r="157" spans="1:19" ht="14.25" customHeight="1">
      <c r="A157" s="41" t="s">
        <v>94</v>
      </c>
      <c r="B157" s="41" t="s">
        <v>89</v>
      </c>
      <c r="C157" s="102" t="s">
        <v>114</v>
      </c>
      <c r="D157" s="92">
        <v>-47.457853253204043</v>
      </c>
      <c r="E157" s="92">
        <v>-23.499323</v>
      </c>
      <c r="F157" s="41">
        <v>2009</v>
      </c>
      <c r="G157" s="175" t="s">
        <v>90</v>
      </c>
      <c r="H157" s="41" t="s">
        <v>188</v>
      </c>
      <c r="I157" s="41" t="s">
        <v>43</v>
      </c>
      <c r="J157" s="41" t="s">
        <v>21</v>
      </c>
      <c r="K157" s="41">
        <v>346</v>
      </c>
      <c r="L157" s="207">
        <v>5</v>
      </c>
      <c r="M157" s="102" t="s">
        <v>11</v>
      </c>
      <c r="N157" s="102" t="s">
        <v>38</v>
      </c>
      <c r="O157" s="41">
        <v>73.900000000000006</v>
      </c>
      <c r="Q157" s="102"/>
      <c r="R157" s="102"/>
      <c r="S157" s="102"/>
    </row>
    <row r="158" spans="1:19" ht="14.25" customHeight="1">
      <c r="A158" s="41" t="s">
        <v>94</v>
      </c>
      <c r="B158" s="41" t="s">
        <v>89</v>
      </c>
      <c r="C158" s="102" t="s">
        <v>153</v>
      </c>
      <c r="D158" s="92">
        <v>-48.208705251855818</v>
      </c>
      <c r="E158" s="92">
        <v>-7.191328939654956</v>
      </c>
      <c r="F158" s="41">
        <v>2009</v>
      </c>
      <c r="G158" s="175" t="s">
        <v>90</v>
      </c>
      <c r="H158" s="41" t="s">
        <v>188</v>
      </c>
      <c r="I158" s="41" t="s">
        <v>43</v>
      </c>
      <c r="J158" s="41" t="s">
        <v>21</v>
      </c>
      <c r="K158" s="172">
        <v>231</v>
      </c>
      <c r="L158" s="207">
        <v>5</v>
      </c>
      <c r="M158" s="102" t="s">
        <v>11</v>
      </c>
      <c r="N158" s="102" t="s">
        <v>38</v>
      </c>
      <c r="O158" s="41">
        <v>88.5</v>
      </c>
      <c r="Q158" s="41"/>
      <c r="R158" s="41"/>
      <c r="S158" s="102"/>
    </row>
    <row r="159" spans="1:19" ht="14.25" customHeight="1">
      <c r="A159" s="41" t="s">
        <v>94</v>
      </c>
      <c r="B159" s="41" t="s">
        <v>89</v>
      </c>
      <c r="C159" s="102" t="s">
        <v>139</v>
      </c>
      <c r="D159" s="92">
        <v>-48.351043708246195</v>
      </c>
      <c r="E159" s="92">
        <v>-10.16325332679275</v>
      </c>
      <c r="F159" s="41">
        <v>2009</v>
      </c>
      <c r="G159" s="175" t="s">
        <v>90</v>
      </c>
      <c r="H159" s="41" t="s">
        <v>188</v>
      </c>
      <c r="I159" s="41" t="s">
        <v>43</v>
      </c>
      <c r="J159" s="41" t="s">
        <v>21</v>
      </c>
      <c r="K159" s="172">
        <v>235</v>
      </c>
      <c r="L159" s="207">
        <v>5</v>
      </c>
      <c r="M159" s="102" t="s">
        <v>11</v>
      </c>
      <c r="N159" s="102" t="s">
        <v>38</v>
      </c>
      <c r="O159" s="41">
        <v>35.9</v>
      </c>
      <c r="Q159" s="41"/>
      <c r="R159" s="41"/>
      <c r="S159" s="102"/>
    </row>
    <row r="160" spans="1:19" ht="14.25" customHeight="1">
      <c r="A160" s="41" t="s">
        <v>94</v>
      </c>
      <c r="B160" s="41" t="s">
        <v>89</v>
      </c>
      <c r="C160" s="102" t="s">
        <v>146</v>
      </c>
      <c r="D160" s="92">
        <v>-54.58710248860465</v>
      </c>
      <c r="E160" s="92">
        <v>-25.542493279529253</v>
      </c>
      <c r="F160" s="41">
        <v>2009</v>
      </c>
      <c r="G160" s="175" t="s">
        <v>90</v>
      </c>
      <c r="H160" s="41" t="s">
        <v>188</v>
      </c>
      <c r="I160" s="41" t="s">
        <v>43</v>
      </c>
      <c r="J160" s="41" t="s">
        <v>21</v>
      </c>
      <c r="K160" s="102">
        <v>368</v>
      </c>
      <c r="L160" s="207">
        <v>5</v>
      </c>
      <c r="M160" s="102" t="s">
        <v>11</v>
      </c>
      <c r="N160" s="102" t="s">
        <v>38</v>
      </c>
      <c r="O160" s="102">
        <v>68.599999999999994</v>
      </c>
      <c r="Q160" s="41"/>
      <c r="R160" s="41"/>
      <c r="S160" s="102"/>
    </row>
    <row r="161" spans="1:19" ht="14.25" customHeight="1" thickBot="1">
      <c r="A161" s="167" t="s">
        <v>94</v>
      </c>
      <c r="B161" s="167" t="s">
        <v>89</v>
      </c>
      <c r="C161" s="104" t="s">
        <v>138</v>
      </c>
      <c r="D161" s="93">
        <v>-51.939881870252066</v>
      </c>
      <c r="E161" s="93">
        <v>-23.422280000000004</v>
      </c>
      <c r="F161" s="167">
        <v>2009</v>
      </c>
      <c r="G161" s="176" t="s">
        <v>90</v>
      </c>
      <c r="H161" s="167" t="s">
        <v>188</v>
      </c>
      <c r="I161" s="167" t="s">
        <v>43</v>
      </c>
      <c r="J161" s="167" t="s">
        <v>21</v>
      </c>
      <c r="K161" s="104">
        <v>354</v>
      </c>
      <c r="L161" s="177">
        <v>5</v>
      </c>
      <c r="M161" s="104" t="s">
        <v>11</v>
      </c>
      <c r="N161" s="104" t="s">
        <v>38</v>
      </c>
      <c r="O161" s="104">
        <v>74.900000000000006</v>
      </c>
      <c r="P161" s="104"/>
      <c r="Q161" s="41"/>
      <c r="R161" s="41"/>
      <c r="S161" s="102"/>
    </row>
    <row r="162" spans="1:19" ht="14.25" customHeight="1">
      <c r="I162" s="41"/>
      <c r="J162" s="41"/>
      <c r="P162" s="102"/>
      <c r="Q162" s="102"/>
      <c r="R162" s="102"/>
      <c r="S162" s="172"/>
    </row>
    <row r="163" spans="1:19" ht="14.25" customHeight="1">
      <c r="O163" s="102"/>
      <c r="P163" s="102"/>
      <c r="Q163" s="102"/>
      <c r="R163" s="172"/>
      <c r="S163" s="172"/>
    </row>
    <row r="164" spans="1:19" ht="14.25" customHeight="1">
      <c r="C164" s="216"/>
      <c r="D164" s="216"/>
      <c r="E164" s="216"/>
      <c r="M164" s="102"/>
      <c r="N164" s="102"/>
      <c r="O164" s="102"/>
      <c r="P164" s="172"/>
      <c r="Q164" s="172"/>
      <c r="R164" s="172"/>
      <c r="S164" s="172"/>
    </row>
    <row r="165" spans="1:19" ht="14.25" customHeight="1">
      <c r="C165" s="216"/>
      <c r="D165" s="216"/>
      <c r="E165" s="216"/>
      <c r="P165" s="172"/>
      <c r="Q165" s="172"/>
      <c r="R165" s="172"/>
      <c r="S165" s="172"/>
    </row>
    <row r="166" spans="1:19" ht="14.25" customHeight="1">
      <c r="C166" s="216"/>
      <c r="D166" s="216"/>
      <c r="E166" s="216"/>
      <c r="P166" s="172"/>
      <c r="Q166" s="172"/>
      <c r="R166" s="172"/>
      <c r="S166" s="172"/>
    </row>
    <row r="167" spans="1:19" ht="14.25" customHeight="1">
      <c r="C167" s="216"/>
      <c r="D167" s="216"/>
      <c r="E167" s="216"/>
      <c r="P167" s="172"/>
      <c r="Q167" s="172"/>
      <c r="R167" s="172"/>
      <c r="S167" s="172"/>
    </row>
    <row r="168" spans="1:19" ht="14.25" customHeight="1">
      <c r="C168" s="216"/>
      <c r="D168" s="216"/>
      <c r="E168" s="216"/>
      <c r="P168" s="172"/>
      <c r="Q168" s="172"/>
      <c r="R168" s="172"/>
      <c r="S168" s="172"/>
    </row>
    <row r="169" spans="1:19" ht="14.25" customHeight="1">
      <c r="C169" s="216"/>
      <c r="D169" s="216"/>
      <c r="E169" s="216"/>
      <c r="P169" s="172"/>
      <c r="Q169" s="172"/>
      <c r="R169" s="172"/>
      <c r="S169" s="172"/>
    </row>
    <row r="170" spans="1:19" ht="14.25" customHeight="1">
      <c r="C170" s="216"/>
      <c r="D170" s="216"/>
      <c r="E170" s="216"/>
      <c r="P170" s="172"/>
      <c r="Q170" s="172"/>
      <c r="R170" s="172"/>
      <c r="S170" s="172"/>
    </row>
    <row r="171" spans="1:19" ht="14.25" customHeight="1">
      <c r="C171" s="216"/>
      <c r="D171" s="216"/>
      <c r="E171" s="216"/>
      <c r="P171" s="172"/>
      <c r="Q171" s="172"/>
      <c r="R171" s="172"/>
      <c r="S171" s="172"/>
    </row>
    <row r="172" spans="1:19" ht="14.25" customHeight="1">
      <c r="C172" s="216"/>
      <c r="D172" s="216"/>
      <c r="E172" s="216"/>
      <c r="P172" s="172"/>
      <c r="Q172" s="172"/>
      <c r="R172" s="172"/>
      <c r="S172" s="172"/>
    </row>
    <row r="173" spans="1:19" ht="14.25" customHeight="1">
      <c r="C173" s="216"/>
      <c r="D173" s="216"/>
      <c r="E173" s="216"/>
      <c r="P173" s="172"/>
      <c r="Q173" s="172"/>
      <c r="R173" s="172"/>
      <c r="S173" s="172"/>
    </row>
    <row r="174" spans="1:19" ht="14.25" customHeight="1">
      <c r="C174" s="216"/>
      <c r="D174" s="216"/>
      <c r="E174" s="216"/>
      <c r="P174" s="172"/>
      <c r="Q174" s="172"/>
      <c r="R174" s="172"/>
      <c r="S174" s="172"/>
    </row>
    <row r="175" spans="1:19" ht="14.25" customHeight="1">
      <c r="C175" s="216"/>
      <c r="D175" s="216"/>
      <c r="E175" s="216"/>
      <c r="P175" s="172"/>
      <c r="Q175" s="172"/>
      <c r="R175" s="172"/>
      <c r="S175" s="172"/>
    </row>
    <row r="176" spans="1:19" ht="14.25" customHeight="1">
      <c r="C176" s="216"/>
      <c r="D176" s="216"/>
      <c r="E176" s="216"/>
      <c r="P176" s="172"/>
      <c r="Q176" s="172"/>
      <c r="R176" s="172"/>
      <c r="S176" s="172"/>
    </row>
    <row r="177" spans="3:19" ht="14.25" customHeight="1">
      <c r="C177" s="216"/>
      <c r="D177" s="216"/>
      <c r="E177" s="216"/>
      <c r="P177" s="172"/>
      <c r="Q177" s="172"/>
      <c r="R177" s="172"/>
      <c r="S177" s="172"/>
    </row>
    <row r="178" spans="3:19" ht="14.25" customHeight="1">
      <c r="C178" s="216"/>
      <c r="D178" s="216"/>
      <c r="E178" s="216"/>
      <c r="P178" s="172"/>
      <c r="Q178" s="172"/>
      <c r="R178" s="172"/>
      <c r="S178" s="172"/>
    </row>
    <row r="179" spans="3:19" ht="14.25" customHeight="1">
      <c r="C179" s="216"/>
      <c r="D179" s="216"/>
      <c r="E179" s="216"/>
      <c r="P179" s="172"/>
      <c r="Q179" s="172"/>
      <c r="R179" s="172"/>
      <c r="S179" s="172"/>
    </row>
    <row r="180" spans="3:19" ht="14.25" customHeight="1">
      <c r="C180" s="216"/>
      <c r="D180" s="216"/>
      <c r="E180" s="216"/>
      <c r="P180" s="172"/>
      <c r="Q180" s="172"/>
      <c r="R180" s="172"/>
      <c r="S180" s="172"/>
    </row>
    <row r="181" spans="3:19" ht="14.25" customHeight="1">
      <c r="C181" s="216"/>
      <c r="D181" s="216"/>
      <c r="E181" s="216"/>
      <c r="P181" s="172"/>
      <c r="Q181" s="172"/>
      <c r="R181" s="172"/>
      <c r="S181" s="172"/>
    </row>
    <row r="182" spans="3:19" ht="14.25" customHeight="1">
      <c r="C182" s="216"/>
      <c r="P182" s="172"/>
      <c r="Q182" s="172"/>
      <c r="R182" s="172"/>
      <c r="S182" s="172"/>
    </row>
    <row r="183" spans="3:19" ht="14.25" customHeight="1">
      <c r="C183" s="216"/>
      <c r="P183" s="172"/>
      <c r="Q183" s="172"/>
      <c r="R183" s="172"/>
      <c r="S183" s="172"/>
    </row>
    <row r="184" spans="3:19" ht="14.25" customHeight="1">
      <c r="C184" s="216"/>
      <c r="P184" s="172"/>
      <c r="Q184" s="172"/>
      <c r="R184" s="172"/>
      <c r="S184" s="172"/>
    </row>
    <row r="185" spans="3:19" ht="14.25" customHeight="1">
      <c r="C185" s="216"/>
      <c r="P185" s="172"/>
      <c r="Q185" s="172"/>
      <c r="R185" s="172"/>
      <c r="S185" s="172"/>
    </row>
    <row r="186" spans="3:19" ht="14.25" customHeight="1">
      <c r="C186" s="216"/>
      <c r="P186" s="172"/>
      <c r="Q186" s="172"/>
      <c r="R186" s="172"/>
      <c r="S186" s="172"/>
    </row>
    <row r="187" spans="3:19" ht="14.25" customHeight="1">
      <c r="C187" s="216"/>
      <c r="P187" s="172"/>
      <c r="Q187" s="172"/>
      <c r="R187" s="172"/>
      <c r="S187" s="172"/>
    </row>
    <row r="188" spans="3:19" ht="14.25" customHeight="1">
      <c r="C188" s="216"/>
      <c r="Q188" s="172"/>
      <c r="R188" s="172"/>
      <c r="S188" s="172"/>
    </row>
    <row r="189" spans="3:19" ht="14.25" customHeight="1">
      <c r="C189" s="216"/>
      <c r="Q189" s="172"/>
      <c r="R189" s="172"/>
      <c r="S189" s="172"/>
    </row>
    <row r="190" spans="3:19" ht="14.25" customHeight="1">
      <c r="C190" s="216"/>
      <c r="Q190" s="172"/>
      <c r="R190" s="172"/>
      <c r="S190" s="172"/>
    </row>
    <row r="191" spans="3:19" ht="14.25" customHeight="1">
      <c r="C191" s="216"/>
      <c r="R191" s="172"/>
      <c r="S191" s="172"/>
    </row>
    <row r="192" spans="3:19" ht="14.25" customHeight="1">
      <c r="C192" s="216"/>
      <c r="R192" s="172"/>
      <c r="S192" s="172"/>
    </row>
    <row r="193" spans="3:19" ht="14.25" customHeight="1">
      <c r="C193" s="216"/>
      <c r="R193" s="172"/>
      <c r="S193" s="172"/>
    </row>
    <row r="194" spans="3:19" ht="14.25" customHeight="1">
      <c r="C194" s="216"/>
      <c r="R194" s="172"/>
      <c r="S194" s="172"/>
    </row>
    <row r="195" spans="3:19" ht="14.25" customHeight="1">
      <c r="C195" s="216"/>
      <c r="R195" s="172"/>
      <c r="S195" s="172"/>
    </row>
    <row r="196" spans="3:19" ht="14.25" customHeight="1">
      <c r="C196" s="216"/>
      <c r="R196" s="172"/>
      <c r="S196" s="172"/>
    </row>
    <row r="197" spans="3:19" ht="14.25" customHeight="1">
      <c r="C197" s="216"/>
      <c r="R197" s="172"/>
      <c r="S197" s="172"/>
    </row>
    <row r="198" spans="3:19" ht="14.25" customHeight="1">
      <c r="C198" s="216"/>
      <c r="R198" s="172"/>
      <c r="S198" s="172"/>
    </row>
    <row r="199" spans="3:19" ht="14.25" customHeight="1">
      <c r="C199" s="216"/>
      <c r="S199" s="172"/>
    </row>
    <row r="200" spans="3:19" ht="14.25" customHeight="1">
      <c r="C200" s="216"/>
      <c r="S200" s="172"/>
    </row>
    <row r="201" spans="3:19" ht="14.25" customHeight="1">
      <c r="S201" s="172"/>
    </row>
    <row r="202" spans="3:19" ht="14.25" customHeight="1">
      <c r="S202" s="172"/>
    </row>
    <row r="203" spans="3:19" ht="14.25" customHeight="1">
      <c r="S203" s="172"/>
    </row>
    <row r="204" spans="3:19" ht="14.25" customHeight="1">
      <c r="S204" s="172"/>
    </row>
    <row r="205" spans="3:19" ht="14.25" customHeight="1">
      <c r="S205" s="172"/>
    </row>
    <row r="206" spans="3:19" ht="14.25" customHeight="1">
      <c r="S206" s="172"/>
    </row>
    <row r="207" spans="3:19" ht="14.25" customHeight="1">
      <c r="S207" s="172"/>
    </row>
    <row r="208" spans="3:19" ht="14.25" customHeight="1">
      <c r="S208" s="172"/>
    </row>
    <row r="209" spans="19:19" ht="14.25" customHeight="1">
      <c r="S209" s="172"/>
    </row>
    <row r="210" spans="19:19" ht="14.25" customHeight="1">
      <c r="S210" s="172"/>
    </row>
    <row r="211" spans="19:19" ht="14.25" customHeight="1">
      <c r="S211" s="172"/>
    </row>
    <row r="212" spans="19:19" ht="14.25" customHeight="1">
      <c r="S212" s="172"/>
    </row>
    <row r="213" spans="19:19" ht="14.25" customHeight="1">
      <c r="S213" s="172"/>
    </row>
    <row r="214" spans="19:19" ht="14.25" customHeight="1">
      <c r="S214" s="172"/>
    </row>
    <row r="215" spans="19:19" ht="14.25" customHeight="1">
      <c r="S215" s="172"/>
    </row>
    <row r="216" spans="19:19" ht="14.25" customHeight="1">
      <c r="S216" s="172"/>
    </row>
    <row r="217" spans="19:19" ht="14.25" customHeight="1">
      <c r="S217" s="172"/>
    </row>
    <row r="218" spans="19:19" ht="14.25" customHeight="1">
      <c r="S218" s="172"/>
    </row>
    <row r="219" spans="19:19" ht="14.25" customHeight="1">
      <c r="S219" s="172"/>
    </row>
    <row r="220" spans="19:19" ht="14.25" customHeight="1">
      <c r="S220" s="172"/>
    </row>
    <row r="221" spans="19:19" ht="14.25" customHeight="1">
      <c r="S221" s="172"/>
    </row>
    <row r="222" spans="19:19" ht="14.25" customHeight="1">
      <c r="S222" s="172"/>
    </row>
    <row r="223" spans="19:19" ht="14.25" customHeight="1">
      <c r="S223" s="172"/>
    </row>
    <row r="224" spans="19:19" ht="14.25" customHeight="1">
      <c r="S224" s="172"/>
    </row>
    <row r="225" spans="19:19" ht="14.25" customHeight="1">
      <c r="S225" s="172"/>
    </row>
    <row r="226" spans="19:19" ht="14.25" customHeight="1">
      <c r="S226" s="172"/>
    </row>
    <row r="227" spans="19:19" ht="14.25" customHeight="1">
      <c r="S227" s="172"/>
    </row>
    <row r="228" spans="19:19" ht="14.25" customHeight="1">
      <c r="S228" s="172"/>
    </row>
    <row r="229" spans="19:19" ht="14.25" customHeight="1">
      <c r="S229" s="172"/>
    </row>
    <row r="230" spans="19:19" ht="14.25" customHeight="1">
      <c r="S230" s="172"/>
    </row>
    <row r="231" spans="19:19" ht="14.25" customHeight="1">
      <c r="S231" s="172"/>
    </row>
    <row r="232" spans="19:19" ht="14.25" customHeight="1">
      <c r="S232" s="172"/>
    </row>
    <row r="233" spans="19:19" ht="14.25" customHeight="1">
      <c r="S233" s="172"/>
    </row>
    <row r="234" spans="19:19" ht="14.25" customHeight="1">
      <c r="S234" s="172"/>
    </row>
    <row r="235" spans="19:19" ht="14.25" customHeight="1">
      <c r="S235" s="172"/>
    </row>
    <row r="236" spans="19:19" ht="14.25" customHeight="1">
      <c r="S236" s="172"/>
    </row>
    <row r="237" spans="19:19" ht="14.25" customHeight="1">
      <c r="S237" s="172"/>
    </row>
    <row r="238" spans="19:19" ht="14.25" customHeight="1">
      <c r="S238" s="172"/>
    </row>
    <row r="239" spans="19:19" ht="14.25" customHeight="1">
      <c r="S239" s="172"/>
    </row>
    <row r="240" spans="19:19" ht="14.25" customHeight="1">
      <c r="S240" s="172"/>
    </row>
    <row r="241" spans="19:19" ht="14.25" customHeight="1">
      <c r="S241" s="172"/>
    </row>
  </sheetData>
  <sheetCalcPr fullCalcOnLoad="1"/>
  <mergeCells count="2">
    <mergeCell ref="R74:S74"/>
    <mergeCell ref="R73:S73"/>
  </mergeCells>
  <phoneticPr fontId="48" type="noConversion"/>
  <conditionalFormatting sqref="R158 R147:R156 P163 R160:R161 Q162">
    <cfRule type="cellIs" dxfId="38" priority="7" stopIfTrue="1" operator="between">
      <formula>0</formula>
      <formula>79.9</formula>
    </cfRule>
    <cfRule type="cellIs" dxfId="37" priority="8" stopIfTrue="1" operator="between">
      <formula>80</formula>
      <formula>97.9</formula>
    </cfRule>
    <cfRule type="cellIs" dxfId="36" priority="9" stopIfTrue="1" operator="between">
      <formula>98</formula>
      <formula>100</formula>
    </cfRule>
  </conditionalFormatting>
  <conditionalFormatting sqref="R157">
    <cfRule type="cellIs" dxfId="35" priority="10" stopIfTrue="1" operator="between">
      <formula>0</formula>
      <formula>79.9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14"/>
  <sheetViews>
    <sheetView topLeftCell="A64" workbookViewId="0">
      <selection activeCell="K85" activeCellId="4" sqref="K73 K80 K81 K83 K85"/>
    </sheetView>
  </sheetViews>
  <sheetFormatPr baseColWidth="10" defaultColWidth="8.83203125" defaultRowHeight="14.25" customHeight="1"/>
  <cols>
    <col min="1" max="1" width="17.83203125" style="18" bestFit="1" customWidth="1"/>
    <col min="2" max="2" width="7" style="18" bestFit="1" customWidth="1"/>
    <col min="3" max="3" width="20" style="20" customWidth="1"/>
    <col min="4" max="4" width="17.33203125" style="20" customWidth="1"/>
    <col min="5" max="5" width="16.5" style="18" customWidth="1"/>
    <col min="6" max="7" width="12.6640625" style="18" customWidth="1"/>
    <col min="8" max="8" width="15.5" style="18" customWidth="1"/>
    <col min="9" max="9" width="17.5" style="18" customWidth="1"/>
    <col min="10" max="10" width="11" style="18" customWidth="1"/>
    <col min="11" max="11" width="14" style="18" bestFit="1" customWidth="1"/>
    <col min="12" max="12" width="12" style="18" customWidth="1"/>
    <col min="13" max="13" width="9.83203125" style="18" customWidth="1"/>
    <col min="14" max="14" width="7.6640625" style="18" customWidth="1"/>
    <col min="15" max="15" width="14.1640625" style="18" customWidth="1"/>
    <col min="16" max="16" width="14.5" style="18" bestFit="1" customWidth="1"/>
    <col min="17" max="19" width="6.5" style="18" bestFit="1" customWidth="1"/>
    <col min="20" max="16384" width="8.83203125" style="16"/>
  </cols>
  <sheetData>
    <row r="1" spans="1:19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9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2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19" ht="14.25" customHeight="1">
      <c r="A2" s="18" t="s">
        <v>94</v>
      </c>
      <c r="B2" s="17" t="s">
        <v>89</v>
      </c>
      <c r="C2" s="9" t="s">
        <v>124</v>
      </c>
      <c r="D2" s="261"/>
      <c r="E2" s="262"/>
      <c r="F2" s="18">
        <v>2010</v>
      </c>
      <c r="G2" s="19" t="s">
        <v>90</v>
      </c>
      <c r="H2" s="18" t="s">
        <v>177</v>
      </c>
      <c r="I2" s="17" t="s">
        <v>91</v>
      </c>
      <c r="J2" s="18" t="s">
        <v>81</v>
      </c>
      <c r="K2" s="27">
        <v>1200</v>
      </c>
      <c r="L2" s="18">
        <v>1.2E-2</v>
      </c>
      <c r="M2" s="18" t="s">
        <v>80</v>
      </c>
      <c r="N2" s="18" t="s">
        <v>88</v>
      </c>
      <c r="O2" s="158">
        <v>100</v>
      </c>
      <c r="P2" s="23">
        <v>2.0000000000000052E-4</v>
      </c>
      <c r="Q2" s="3">
        <v>3.0000000000000001E-3</v>
      </c>
      <c r="R2" s="3">
        <v>5.0000000000000001E-3</v>
      </c>
      <c r="S2" s="3">
        <v>6.1000000000000004E-3</v>
      </c>
    </row>
    <row r="3" spans="1:19" ht="14.25" customHeight="1">
      <c r="A3" s="18" t="s">
        <v>94</v>
      </c>
      <c r="B3" s="17" t="s">
        <v>89</v>
      </c>
      <c r="C3" s="158" t="s">
        <v>100</v>
      </c>
      <c r="D3" s="109">
        <v>-50.439226072752582</v>
      </c>
      <c r="E3" s="109">
        <v>-21.205476000000004</v>
      </c>
      <c r="F3" s="18">
        <v>2010</v>
      </c>
      <c r="G3" s="19" t="s">
        <v>90</v>
      </c>
      <c r="H3" s="18" t="s">
        <v>177</v>
      </c>
      <c r="I3" s="17" t="s">
        <v>91</v>
      </c>
      <c r="J3" s="18" t="s">
        <v>81</v>
      </c>
      <c r="K3" s="158">
        <v>1500</v>
      </c>
      <c r="L3" s="18">
        <v>1.2E-2</v>
      </c>
      <c r="M3" s="18" t="s">
        <v>80</v>
      </c>
      <c r="N3" s="18" t="s">
        <v>88</v>
      </c>
      <c r="O3" s="10">
        <v>87.241216196187679</v>
      </c>
      <c r="P3" s="23">
        <v>1.0000000000000009E-3</v>
      </c>
      <c r="Q3" s="3">
        <v>6.7000000000000002E-3</v>
      </c>
      <c r="R3" s="3">
        <v>1.6E-2</v>
      </c>
      <c r="S3" s="3">
        <v>2.1999999999999999E-2</v>
      </c>
    </row>
    <row r="4" spans="1:19" ht="14.25" customHeight="1">
      <c r="A4" s="18" t="s">
        <v>94</v>
      </c>
      <c r="B4" s="17" t="s">
        <v>89</v>
      </c>
      <c r="C4" s="158" t="s">
        <v>101</v>
      </c>
      <c r="D4" s="109">
        <v>-48.567377839455055</v>
      </c>
      <c r="E4" s="109">
        <v>-20.558455515000002</v>
      </c>
      <c r="F4" s="18">
        <v>2010</v>
      </c>
      <c r="G4" s="19" t="s">
        <v>90</v>
      </c>
      <c r="H4" s="18" t="s">
        <v>177</v>
      </c>
      <c r="I4" s="17" t="s">
        <v>91</v>
      </c>
      <c r="J4" s="18" t="s">
        <v>81</v>
      </c>
      <c r="K4" s="158">
        <v>1500</v>
      </c>
      <c r="L4" s="18">
        <v>1.2E-2</v>
      </c>
      <c r="M4" s="18" t="s">
        <v>80</v>
      </c>
      <c r="N4" s="18" t="s">
        <v>88</v>
      </c>
      <c r="O4" s="10">
        <v>43.660000000000004</v>
      </c>
      <c r="P4" s="23">
        <v>1.9999999999999983E-3</v>
      </c>
      <c r="Q4" s="3">
        <v>1.2999999999999999E-2</v>
      </c>
      <c r="R4" s="3">
        <v>2.6000000000000002E-2</v>
      </c>
      <c r="S4" s="3">
        <v>3.5000000000000003E-2</v>
      </c>
    </row>
    <row r="5" spans="1:19" ht="14.25" customHeight="1">
      <c r="A5" s="18" t="s">
        <v>94</v>
      </c>
      <c r="B5" s="17" t="s">
        <v>89</v>
      </c>
      <c r="C5" s="158" t="s">
        <v>102</v>
      </c>
      <c r="D5" s="109">
        <v>-49.083000867090362</v>
      </c>
      <c r="E5" s="109">
        <v>-22.325122500000006</v>
      </c>
      <c r="F5" s="18">
        <v>2010</v>
      </c>
      <c r="G5" s="19" t="s">
        <v>90</v>
      </c>
      <c r="H5" s="18" t="s">
        <v>177</v>
      </c>
      <c r="I5" s="17" t="s">
        <v>91</v>
      </c>
      <c r="J5" s="18" t="s">
        <v>81</v>
      </c>
      <c r="K5" s="158">
        <v>1200</v>
      </c>
      <c r="L5" s="18">
        <v>1.2E-2</v>
      </c>
      <c r="M5" s="18" t="s">
        <v>80</v>
      </c>
      <c r="N5" s="18" t="s">
        <v>88</v>
      </c>
      <c r="O5" s="10">
        <v>87.709983804875023</v>
      </c>
      <c r="P5" s="23">
        <v>9.9999999999999915E-4</v>
      </c>
      <c r="Q5" s="3">
        <v>7.1000000000000004E-3</v>
      </c>
      <c r="R5" s="3">
        <v>1.4999999999999999E-2</v>
      </c>
      <c r="S5" s="3">
        <v>0.02</v>
      </c>
    </row>
    <row r="6" spans="1:19" ht="14.25" customHeight="1">
      <c r="A6" s="18" t="s">
        <v>94</v>
      </c>
      <c r="B6" s="17" t="s">
        <v>89</v>
      </c>
      <c r="C6" s="158" t="s">
        <v>103</v>
      </c>
      <c r="D6" s="109">
        <v>-48.441289384350434</v>
      </c>
      <c r="E6" s="109">
        <v>-22.888381500000008</v>
      </c>
      <c r="F6" s="18">
        <v>2010</v>
      </c>
      <c r="G6" s="19" t="s">
        <v>90</v>
      </c>
      <c r="H6" s="18" t="s">
        <v>177</v>
      </c>
      <c r="I6" s="17" t="s">
        <v>91</v>
      </c>
      <c r="J6" s="18" t="s">
        <v>81</v>
      </c>
      <c r="K6" s="158">
        <v>1200</v>
      </c>
      <c r="L6" s="18">
        <v>1.2E-2</v>
      </c>
      <c r="M6" s="18" t="s">
        <v>80</v>
      </c>
      <c r="N6" s="18" t="s">
        <v>88</v>
      </c>
      <c r="O6" s="10">
        <v>96.20309532557394</v>
      </c>
      <c r="P6" s="165">
        <v>1E-4</v>
      </c>
      <c r="Q6" s="4">
        <v>6.0000000000000001E-3</v>
      </c>
      <c r="R6" s="4">
        <v>1.0999999999999999E-2</v>
      </c>
      <c r="S6" s="4">
        <v>1.4999999999999999E-2</v>
      </c>
    </row>
    <row r="7" spans="1:19" ht="14.25" customHeight="1">
      <c r="A7" s="18" t="s">
        <v>94</v>
      </c>
      <c r="B7" s="17" t="s">
        <v>89</v>
      </c>
      <c r="C7" s="158" t="s">
        <v>134</v>
      </c>
      <c r="D7" s="109">
        <v>-47.299749835960981</v>
      </c>
      <c r="E7" s="109">
        <v>-23.265442500000002</v>
      </c>
      <c r="F7" s="18">
        <v>2010</v>
      </c>
      <c r="G7" s="19" t="s">
        <v>90</v>
      </c>
      <c r="H7" s="18" t="s">
        <v>177</v>
      </c>
      <c r="I7" s="17" t="s">
        <v>91</v>
      </c>
      <c r="J7" s="18" t="s">
        <v>81</v>
      </c>
      <c r="K7" s="158">
        <v>1500</v>
      </c>
      <c r="L7" s="18">
        <v>1.2E-2</v>
      </c>
      <c r="M7" s="18" t="s">
        <v>80</v>
      </c>
      <c r="N7" s="18" t="s">
        <v>88</v>
      </c>
      <c r="O7" s="10">
        <v>86.445034165415464</v>
      </c>
      <c r="P7" s="23">
        <v>9.9999999999999915E-4</v>
      </c>
      <c r="Q7" s="4">
        <v>7.7999999999999996E-3</v>
      </c>
      <c r="R7" s="4">
        <v>1.4999999999999999E-2</v>
      </c>
      <c r="S7" s="4">
        <v>1.9E-2</v>
      </c>
    </row>
    <row r="8" spans="1:19" ht="14.25" customHeight="1">
      <c r="A8" s="18" t="s">
        <v>94</v>
      </c>
      <c r="B8" s="17" t="s">
        <v>89</v>
      </c>
      <c r="C8" s="158" t="s">
        <v>107</v>
      </c>
      <c r="D8" s="109">
        <v>-49.951645643103269</v>
      </c>
      <c r="E8" s="109">
        <v>-22.214933000000002</v>
      </c>
      <c r="F8" s="18">
        <v>2010</v>
      </c>
      <c r="G8" s="19" t="s">
        <v>90</v>
      </c>
      <c r="H8" s="18" t="s">
        <v>177</v>
      </c>
      <c r="I8" s="17" t="s">
        <v>91</v>
      </c>
      <c r="J8" s="18" t="s">
        <v>81</v>
      </c>
      <c r="K8" s="158">
        <v>1200</v>
      </c>
      <c r="L8" s="18">
        <v>1.2E-2</v>
      </c>
      <c r="M8" s="18" t="s">
        <v>80</v>
      </c>
      <c r="N8" s="18" t="s">
        <v>88</v>
      </c>
      <c r="O8" s="10">
        <v>85.473260820083723</v>
      </c>
      <c r="P8" s="23">
        <v>1.0000000000000009E-3</v>
      </c>
      <c r="Q8" s="4">
        <v>7.0000000000000001E-3</v>
      </c>
      <c r="R8" s="4">
        <v>1.6E-2</v>
      </c>
      <c r="S8" s="4">
        <v>2.3E-2</v>
      </c>
    </row>
    <row r="9" spans="1:19" ht="14.25" customHeight="1">
      <c r="A9" s="18" t="s">
        <v>94</v>
      </c>
      <c r="B9" s="17" t="s">
        <v>89</v>
      </c>
      <c r="C9" s="158" t="s">
        <v>95</v>
      </c>
      <c r="D9" s="109">
        <v>-46.570383182112749</v>
      </c>
      <c r="E9" s="109">
        <v>-23.567386500000001</v>
      </c>
      <c r="F9" s="18">
        <v>2010</v>
      </c>
      <c r="G9" s="19" t="s">
        <v>90</v>
      </c>
      <c r="H9" s="18" t="s">
        <v>177</v>
      </c>
      <c r="I9" s="17" t="s">
        <v>91</v>
      </c>
      <c r="J9" s="18" t="s">
        <v>81</v>
      </c>
      <c r="K9" s="158">
        <v>1500</v>
      </c>
      <c r="L9" s="18">
        <v>1.2E-2</v>
      </c>
      <c r="M9" s="18" t="s">
        <v>80</v>
      </c>
      <c r="N9" s="18" t="s">
        <v>88</v>
      </c>
      <c r="O9" s="10">
        <v>71.652409856082329</v>
      </c>
      <c r="P9" s="23">
        <v>1.0000000000000009E-3</v>
      </c>
      <c r="Q9" s="3">
        <v>7.0714285714285731E-3</v>
      </c>
      <c r="R9" s="3">
        <v>1.8852459016393441E-2</v>
      </c>
      <c r="S9" s="3">
        <v>2.9211267605633803E-2</v>
      </c>
    </row>
    <row r="10" spans="1:19" ht="14.25" customHeight="1">
      <c r="A10" s="18" t="s">
        <v>94</v>
      </c>
      <c r="B10" s="17" t="s">
        <v>89</v>
      </c>
      <c r="C10" s="158" t="s">
        <v>108</v>
      </c>
      <c r="D10" s="109">
        <v>-51.386765581912492</v>
      </c>
      <c r="E10" s="109">
        <v>-22.122743500000002</v>
      </c>
      <c r="F10" s="18">
        <v>2010</v>
      </c>
      <c r="G10" s="19" t="s">
        <v>90</v>
      </c>
      <c r="H10" s="18" t="s">
        <v>177</v>
      </c>
      <c r="I10" s="17" t="s">
        <v>91</v>
      </c>
      <c r="J10" s="18" t="s">
        <v>81</v>
      </c>
      <c r="K10" s="158">
        <v>1500</v>
      </c>
      <c r="L10" s="18">
        <v>1.2E-2</v>
      </c>
      <c r="M10" s="18" t="s">
        <v>80</v>
      </c>
      <c r="N10" s="18" t="s">
        <v>88</v>
      </c>
      <c r="O10" s="10">
        <v>78.28</v>
      </c>
      <c r="P10" s="23">
        <v>1.0000000000000009E-3</v>
      </c>
      <c r="Q10" s="3">
        <v>8.3999999999999995E-3</v>
      </c>
      <c r="R10" s="3">
        <v>1.6E-2</v>
      </c>
      <c r="S10" s="3">
        <v>2.1999999999999999E-2</v>
      </c>
    </row>
    <row r="11" spans="1:19" ht="14.25" customHeight="1">
      <c r="A11" s="18" t="s">
        <v>94</v>
      </c>
      <c r="B11" s="17" t="s">
        <v>89</v>
      </c>
      <c r="C11" s="158" t="s">
        <v>109</v>
      </c>
      <c r="D11" s="109">
        <v>-47.805475915541528</v>
      </c>
      <c r="E11" s="109">
        <v>-21.184834500000004</v>
      </c>
      <c r="F11" s="18">
        <v>2010</v>
      </c>
      <c r="G11" s="19" t="s">
        <v>90</v>
      </c>
      <c r="H11" s="18" t="s">
        <v>177</v>
      </c>
      <c r="I11" s="17" t="s">
        <v>91</v>
      </c>
      <c r="J11" s="18" t="s">
        <v>81</v>
      </c>
      <c r="K11" s="158">
        <v>1200</v>
      </c>
      <c r="L11" s="18">
        <v>1.2E-2</v>
      </c>
      <c r="M11" s="18" t="s">
        <v>80</v>
      </c>
      <c r="N11" s="18" t="s">
        <v>88</v>
      </c>
      <c r="O11" s="10">
        <v>40.017744900814748</v>
      </c>
      <c r="P11" s="23">
        <v>2.0000000000000018E-3</v>
      </c>
      <c r="Q11" s="3">
        <v>8.6E-3</v>
      </c>
      <c r="R11" s="3">
        <v>2.0500000000000001E-2</v>
      </c>
      <c r="S11" s="3">
        <v>2.8400000000000002E-2</v>
      </c>
    </row>
    <row r="12" spans="1:19" ht="14.25" customHeight="1">
      <c r="A12" s="18" t="s">
        <v>94</v>
      </c>
      <c r="B12" s="17" t="s">
        <v>89</v>
      </c>
      <c r="C12" s="158" t="s">
        <v>127</v>
      </c>
      <c r="D12" s="109">
        <v>-46.922092505649722</v>
      </c>
      <c r="E12" s="109">
        <v>-23.449453000000005</v>
      </c>
      <c r="F12" s="18">
        <v>2010</v>
      </c>
      <c r="G12" s="19" t="s">
        <v>90</v>
      </c>
      <c r="H12" s="18" t="s">
        <v>177</v>
      </c>
      <c r="I12" s="17" t="s">
        <v>91</v>
      </c>
      <c r="J12" s="18" t="s">
        <v>81</v>
      </c>
      <c r="K12" s="158">
        <v>1200</v>
      </c>
      <c r="L12" s="18">
        <v>1.2E-2</v>
      </c>
      <c r="M12" s="18" t="s">
        <v>80</v>
      </c>
      <c r="N12" s="18" t="s">
        <v>88</v>
      </c>
      <c r="O12" s="10">
        <v>64.94274676659245</v>
      </c>
      <c r="P12" s="23">
        <v>2.0000000000000018E-3</v>
      </c>
      <c r="Q12" s="3">
        <v>9.9000000000000008E-3</v>
      </c>
      <c r="R12" s="3">
        <v>2.1000000000000001E-2</v>
      </c>
      <c r="S12" s="3">
        <v>2.8000000000000001E-2</v>
      </c>
    </row>
    <row r="13" spans="1:19" ht="14.25" customHeight="1">
      <c r="A13" s="18" t="s">
        <v>94</v>
      </c>
      <c r="B13" s="17" t="s">
        <v>89</v>
      </c>
      <c r="C13" s="158" t="s">
        <v>152</v>
      </c>
      <c r="D13" s="109">
        <v>-46.331370849190684</v>
      </c>
      <c r="E13" s="109">
        <v>-23.933737500000003</v>
      </c>
      <c r="F13" s="18">
        <v>2010</v>
      </c>
      <c r="G13" s="19" t="s">
        <v>90</v>
      </c>
      <c r="H13" s="18" t="s">
        <v>177</v>
      </c>
      <c r="I13" s="17" t="s">
        <v>91</v>
      </c>
      <c r="J13" s="18" t="s">
        <v>81</v>
      </c>
      <c r="K13" s="158">
        <v>1200</v>
      </c>
      <c r="L13" s="18">
        <v>1.2E-2</v>
      </c>
      <c r="M13" s="18" t="s">
        <v>80</v>
      </c>
      <c r="N13" s="18" t="s">
        <v>88</v>
      </c>
      <c r="O13" s="10">
        <v>65.625</v>
      </c>
      <c r="P13" s="23">
        <v>2.6900000000000014E-3</v>
      </c>
      <c r="Q13" s="4">
        <v>9.9699999999999997E-3</v>
      </c>
      <c r="R13" s="4">
        <v>1.7850000000000001E-2</v>
      </c>
      <c r="S13" s="4">
        <v>2.273E-2</v>
      </c>
    </row>
    <row r="14" spans="1:19" ht="14.25" customHeight="1">
      <c r="A14" s="18" t="s">
        <v>94</v>
      </c>
      <c r="B14" s="17" t="s">
        <v>89</v>
      </c>
      <c r="C14" s="158" t="s">
        <v>111</v>
      </c>
      <c r="D14" s="109">
        <v>-47.889237684691636</v>
      </c>
      <c r="E14" s="109">
        <v>-22.015998500000002</v>
      </c>
      <c r="F14" s="18">
        <v>2010</v>
      </c>
      <c r="G14" s="19" t="s">
        <v>90</v>
      </c>
      <c r="H14" s="18" t="s">
        <v>177</v>
      </c>
      <c r="I14" s="17" t="s">
        <v>91</v>
      </c>
      <c r="J14" s="18" t="s">
        <v>81</v>
      </c>
      <c r="K14" s="158">
        <v>1500</v>
      </c>
      <c r="L14" s="18">
        <v>1.2E-2</v>
      </c>
      <c r="M14" s="18" t="s">
        <v>80</v>
      </c>
      <c r="N14" s="18" t="s">
        <v>88</v>
      </c>
      <c r="O14" s="10">
        <v>76.94</v>
      </c>
      <c r="P14" s="23">
        <v>1.0000000000000009E-3</v>
      </c>
      <c r="Q14" s="4">
        <v>7.7000000000000002E-3</v>
      </c>
      <c r="R14" s="4">
        <v>1.6E-2</v>
      </c>
      <c r="S14" s="4">
        <v>2.3E-2</v>
      </c>
    </row>
    <row r="15" spans="1:19" ht="14.25" customHeight="1">
      <c r="A15" s="18" t="s">
        <v>94</v>
      </c>
      <c r="B15" s="17" t="s">
        <v>89</v>
      </c>
      <c r="C15" s="158" t="s">
        <v>131</v>
      </c>
      <c r="D15" s="109">
        <v>-49.381347685025794</v>
      </c>
      <c r="E15" s="109">
        <v>-20.812636500000004</v>
      </c>
      <c r="F15" s="18">
        <v>2010</v>
      </c>
      <c r="G15" s="19" t="s">
        <v>90</v>
      </c>
      <c r="H15" s="18" t="s">
        <v>177</v>
      </c>
      <c r="I15" s="17" t="s">
        <v>91</v>
      </c>
      <c r="J15" s="18" t="s">
        <v>81</v>
      </c>
      <c r="K15" s="158">
        <v>1200</v>
      </c>
      <c r="L15" s="18">
        <v>1.2E-2</v>
      </c>
      <c r="M15" s="18" t="s">
        <v>80</v>
      </c>
      <c r="N15" s="18" t="s">
        <v>88</v>
      </c>
      <c r="O15" s="10">
        <v>64.392578215041112</v>
      </c>
      <c r="P15" s="23">
        <v>1.9999999999999983E-3</v>
      </c>
      <c r="Q15" s="4">
        <v>9.7000000000000003E-3</v>
      </c>
      <c r="R15" s="4">
        <v>2.5999999999999999E-2</v>
      </c>
      <c r="S15" s="4">
        <v>3.9E-2</v>
      </c>
    </row>
    <row r="16" spans="1:19" ht="14.25" customHeight="1">
      <c r="A16" s="17" t="s">
        <v>94</v>
      </c>
      <c r="B16" s="17" t="s">
        <v>89</v>
      </c>
      <c r="C16" s="158" t="s">
        <v>113</v>
      </c>
      <c r="D16" s="109">
        <v>-45.402680140543957</v>
      </c>
      <c r="E16" s="109">
        <v>-23.806687652148753</v>
      </c>
      <c r="F16" s="18">
        <v>2010</v>
      </c>
      <c r="G16" s="19" t="s">
        <v>90</v>
      </c>
      <c r="H16" s="17" t="s">
        <v>177</v>
      </c>
      <c r="I16" s="17" t="s">
        <v>91</v>
      </c>
      <c r="J16" s="17" t="s">
        <v>81</v>
      </c>
      <c r="K16" s="158">
        <v>1500</v>
      </c>
      <c r="L16" s="17">
        <v>1.2E-2</v>
      </c>
      <c r="M16" s="17" t="s">
        <v>80</v>
      </c>
      <c r="N16" s="17" t="s">
        <v>88</v>
      </c>
      <c r="O16" s="10">
        <v>8.7001777645298706</v>
      </c>
      <c r="P16" s="23">
        <v>1.0000000000000009E-3</v>
      </c>
      <c r="Q16" s="3">
        <v>1.7000000000000001E-2</v>
      </c>
      <c r="R16" s="3">
        <v>2.5000000000000001E-2</v>
      </c>
      <c r="S16" s="3">
        <v>0.03</v>
      </c>
    </row>
    <row r="17" spans="1:19" ht="14.25" customHeight="1">
      <c r="A17" s="18" t="s">
        <v>94</v>
      </c>
      <c r="B17" s="17" t="s">
        <v>89</v>
      </c>
      <c r="C17" s="158" t="s">
        <v>119</v>
      </c>
      <c r="D17" s="109">
        <v>-60.023335181061036</v>
      </c>
      <c r="E17" s="109">
        <v>-3.1346914912019459</v>
      </c>
      <c r="F17" s="18">
        <v>2010</v>
      </c>
      <c r="G17" s="19" t="s">
        <v>90</v>
      </c>
      <c r="H17" s="18" t="s">
        <v>177</v>
      </c>
      <c r="I17" s="17" t="s">
        <v>91</v>
      </c>
      <c r="J17" s="17" t="s">
        <v>81</v>
      </c>
      <c r="K17" s="27">
        <v>1200</v>
      </c>
      <c r="L17" s="17">
        <v>1.2E-2</v>
      </c>
      <c r="M17" s="18" t="s">
        <v>80</v>
      </c>
      <c r="N17" s="18" t="s">
        <v>88</v>
      </c>
      <c r="O17" s="31">
        <v>34</v>
      </c>
      <c r="P17" s="23">
        <v>2.9999999999999992E-3</v>
      </c>
      <c r="Q17" s="3">
        <v>1.0714285714285714E-2</v>
      </c>
      <c r="R17" s="3">
        <v>2.540983606557377E-2</v>
      </c>
      <c r="S17" s="3">
        <v>3.5225352112676057E-2</v>
      </c>
    </row>
    <row r="18" spans="1:19" ht="14.25" customHeight="1" thickBot="1">
      <c r="A18" s="21" t="s">
        <v>94</v>
      </c>
      <c r="B18" s="21" t="s">
        <v>89</v>
      </c>
      <c r="C18" s="11" t="s">
        <v>141</v>
      </c>
      <c r="D18" s="110">
        <v>-47.887905478031342</v>
      </c>
      <c r="E18" s="110">
        <v>-15.794087361891002</v>
      </c>
      <c r="F18" s="21">
        <v>2010</v>
      </c>
      <c r="G18" s="22" t="s">
        <v>90</v>
      </c>
      <c r="H18" s="21" t="s">
        <v>177</v>
      </c>
      <c r="I18" s="21" t="s">
        <v>91</v>
      </c>
      <c r="J18" s="21" t="s">
        <v>81</v>
      </c>
      <c r="K18" s="11">
        <v>1200</v>
      </c>
      <c r="L18" s="21">
        <v>1.2E-2</v>
      </c>
      <c r="M18" s="21" t="s">
        <v>80</v>
      </c>
      <c r="N18" s="21" t="s">
        <v>88</v>
      </c>
      <c r="O18" s="30">
        <v>7.4767607326269525</v>
      </c>
      <c r="P18" s="23">
        <v>9.9999999999999742E-4</v>
      </c>
      <c r="Q18" s="13">
        <v>1.3571428571428571E-2</v>
      </c>
      <c r="R18" s="13">
        <v>2.4590163934426226E-2</v>
      </c>
      <c r="S18" s="13">
        <v>3.1788732394366193E-2</v>
      </c>
    </row>
    <row r="19" spans="1:19" ht="14.25" customHeight="1">
      <c r="A19" s="18" t="s">
        <v>94</v>
      </c>
      <c r="B19" s="17" t="s">
        <v>89</v>
      </c>
      <c r="C19" s="9" t="s">
        <v>124</v>
      </c>
      <c r="D19" s="261"/>
      <c r="E19" s="262"/>
      <c r="F19" s="18">
        <v>2010</v>
      </c>
      <c r="G19" s="19" t="s">
        <v>90</v>
      </c>
      <c r="H19" s="18" t="s">
        <v>177</v>
      </c>
      <c r="I19" s="17" t="s">
        <v>91</v>
      </c>
      <c r="J19" s="158" t="s">
        <v>92</v>
      </c>
      <c r="K19" s="158">
        <v>1200</v>
      </c>
      <c r="L19" s="158">
        <v>0.01</v>
      </c>
      <c r="M19" s="18" t="s">
        <v>80</v>
      </c>
      <c r="N19" s="17" t="s">
        <v>88</v>
      </c>
      <c r="O19" s="76">
        <v>100</v>
      </c>
      <c r="P19" s="40">
        <v>2.0000000000000001E-4</v>
      </c>
      <c r="Q19" s="4">
        <v>1.9E-3</v>
      </c>
      <c r="R19" s="4">
        <v>3.3E-3</v>
      </c>
      <c r="S19" s="4">
        <v>4.1999999999999997E-3</v>
      </c>
    </row>
    <row r="20" spans="1:19" ht="14.25" customHeight="1">
      <c r="A20" s="18" t="s">
        <v>94</v>
      </c>
      <c r="B20" s="17" t="s">
        <v>89</v>
      </c>
      <c r="C20" s="158" t="s">
        <v>100</v>
      </c>
      <c r="D20" s="109">
        <v>-50.439226072752582</v>
      </c>
      <c r="E20" s="109">
        <v>-21.205476000000004</v>
      </c>
      <c r="F20" s="18">
        <v>2010</v>
      </c>
      <c r="G20" s="19" t="s">
        <v>90</v>
      </c>
      <c r="H20" s="18" t="s">
        <v>177</v>
      </c>
      <c r="I20" s="17" t="s">
        <v>91</v>
      </c>
      <c r="J20" s="158" t="s">
        <v>92</v>
      </c>
      <c r="K20" s="158">
        <v>1200</v>
      </c>
      <c r="L20" s="158">
        <v>0.01</v>
      </c>
      <c r="M20" s="18" t="s">
        <v>80</v>
      </c>
      <c r="N20" s="17" t="s">
        <v>88</v>
      </c>
      <c r="O20" s="31">
        <v>83.935345422004616</v>
      </c>
      <c r="P20" s="4">
        <v>9.9999999999999915E-4</v>
      </c>
      <c r="Q20" s="4">
        <v>5.4000000000000003E-3</v>
      </c>
      <c r="R20" s="4">
        <v>1.0999999999999999E-2</v>
      </c>
      <c r="S20" s="4">
        <v>1.4999999999999999E-2</v>
      </c>
    </row>
    <row r="21" spans="1:19" ht="14.25" customHeight="1">
      <c r="A21" s="18" t="s">
        <v>94</v>
      </c>
      <c r="B21" s="17" t="s">
        <v>89</v>
      </c>
      <c r="C21" s="158" t="s">
        <v>101</v>
      </c>
      <c r="D21" s="109">
        <v>-48.567377839455055</v>
      </c>
      <c r="E21" s="109">
        <v>-20.558455515000002</v>
      </c>
      <c r="F21" s="18">
        <v>2010</v>
      </c>
      <c r="G21" s="19" t="s">
        <v>90</v>
      </c>
      <c r="H21" s="18" t="s">
        <v>177</v>
      </c>
      <c r="I21" s="17" t="s">
        <v>91</v>
      </c>
      <c r="J21" s="158" t="s">
        <v>92</v>
      </c>
      <c r="K21" s="158">
        <v>1200</v>
      </c>
      <c r="L21" s="158">
        <v>0.01</v>
      </c>
      <c r="M21" s="18" t="s">
        <v>80</v>
      </c>
      <c r="N21" s="17" t="s">
        <v>88</v>
      </c>
      <c r="O21" s="31">
        <v>81.112731710962564</v>
      </c>
      <c r="P21" s="4">
        <v>1.0000000000000009E-3</v>
      </c>
      <c r="Q21" s="4">
        <v>5.7000000000000002E-3</v>
      </c>
      <c r="R21" s="4">
        <v>1.2E-2</v>
      </c>
      <c r="S21" s="4">
        <v>1.6E-2</v>
      </c>
    </row>
    <row r="22" spans="1:19" ht="14.25" customHeight="1">
      <c r="A22" s="18" t="s">
        <v>94</v>
      </c>
      <c r="B22" s="17" t="s">
        <v>89</v>
      </c>
      <c r="C22" s="158" t="s">
        <v>102</v>
      </c>
      <c r="D22" s="109">
        <v>-49.083000867090362</v>
      </c>
      <c r="E22" s="109">
        <v>-22.325122500000006</v>
      </c>
      <c r="F22" s="18">
        <v>2010</v>
      </c>
      <c r="G22" s="19" t="s">
        <v>90</v>
      </c>
      <c r="H22" s="18" t="s">
        <v>177</v>
      </c>
      <c r="I22" s="17" t="s">
        <v>91</v>
      </c>
      <c r="J22" s="158" t="s">
        <v>92</v>
      </c>
      <c r="K22" s="158">
        <v>1800</v>
      </c>
      <c r="L22" s="158">
        <v>0.01</v>
      </c>
      <c r="M22" s="18" t="s">
        <v>80</v>
      </c>
      <c r="N22" s="17" t="s">
        <v>88</v>
      </c>
      <c r="O22" s="10">
        <v>96.365574797023939</v>
      </c>
      <c r="P22" s="4">
        <v>2.0000000000000052E-4</v>
      </c>
      <c r="Q22" s="4">
        <v>4.4000000000000003E-3</v>
      </c>
      <c r="R22" s="4">
        <v>7.9000000000000008E-3</v>
      </c>
      <c r="S22" s="4">
        <v>0.01</v>
      </c>
    </row>
    <row r="23" spans="1:19" ht="14.25" customHeight="1">
      <c r="A23" s="18" t="s">
        <v>94</v>
      </c>
      <c r="B23" s="17" t="s">
        <v>89</v>
      </c>
      <c r="C23" s="158" t="s">
        <v>103</v>
      </c>
      <c r="D23" s="109">
        <v>-48.441289384350434</v>
      </c>
      <c r="E23" s="109">
        <v>-22.888381500000008</v>
      </c>
      <c r="F23" s="18">
        <v>2010</v>
      </c>
      <c r="G23" s="19" t="s">
        <v>90</v>
      </c>
      <c r="H23" s="18" t="s">
        <v>177</v>
      </c>
      <c r="I23" s="17" t="s">
        <v>91</v>
      </c>
      <c r="J23" s="158" t="s">
        <v>92</v>
      </c>
      <c r="K23" s="27">
        <v>1200</v>
      </c>
      <c r="L23" s="158">
        <v>0.01</v>
      </c>
      <c r="M23" s="18" t="s">
        <v>80</v>
      </c>
      <c r="N23" s="17" t="s">
        <v>88</v>
      </c>
      <c r="O23" s="10">
        <v>98.443160778621007</v>
      </c>
      <c r="P23" s="4">
        <v>6.8999999999999999E-3</v>
      </c>
      <c r="Q23" s="4">
        <v>4.3E-3</v>
      </c>
      <c r="R23" s="4">
        <v>7.1999999999999998E-3</v>
      </c>
      <c r="S23" s="4">
        <v>8.8999999999999999E-3</v>
      </c>
    </row>
    <row r="24" spans="1:19" ht="14.25" customHeight="1">
      <c r="A24" s="18" t="s">
        <v>94</v>
      </c>
      <c r="B24" s="17" t="s">
        <v>89</v>
      </c>
      <c r="C24" s="158" t="s">
        <v>134</v>
      </c>
      <c r="D24" s="109">
        <v>-47.299749835960981</v>
      </c>
      <c r="E24" s="109">
        <v>-23.265442500000002</v>
      </c>
      <c r="F24" s="18">
        <v>2010</v>
      </c>
      <c r="G24" s="19" t="s">
        <v>90</v>
      </c>
      <c r="H24" s="18" t="s">
        <v>177</v>
      </c>
      <c r="I24" s="17" t="s">
        <v>91</v>
      </c>
      <c r="J24" s="158" t="s">
        <v>92</v>
      </c>
      <c r="K24" s="27">
        <v>1500</v>
      </c>
      <c r="L24" s="158">
        <v>0.01</v>
      </c>
      <c r="M24" s="18" t="s">
        <v>80</v>
      </c>
      <c r="N24" s="17" t="s">
        <v>88</v>
      </c>
      <c r="O24" s="31">
        <v>95.815995644746394</v>
      </c>
      <c r="P24" s="4">
        <v>2.9999999999999992E-4</v>
      </c>
      <c r="Q24" s="4">
        <v>4.7999999999999996E-3</v>
      </c>
      <c r="R24" s="4">
        <v>8.2000000000000007E-3</v>
      </c>
      <c r="S24" s="4">
        <v>0.01</v>
      </c>
    </row>
    <row r="25" spans="1:19" ht="14.25" customHeight="1">
      <c r="A25" s="18" t="s">
        <v>94</v>
      </c>
      <c r="B25" s="17" t="s">
        <v>89</v>
      </c>
      <c r="C25" s="158" t="s">
        <v>107</v>
      </c>
      <c r="D25" s="109">
        <v>-49.951645643103269</v>
      </c>
      <c r="E25" s="109">
        <v>-22.214933000000002</v>
      </c>
      <c r="F25" s="18">
        <v>2010</v>
      </c>
      <c r="G25" s="19" t="s">
        <v>90</v>
      </c>
      <c r="H25" s="18" t="s">
        <v>177</v>
      </c>
      <c r="I25" s="17" t="s">
        <v>91</v>
      </c>
      <c r="J25" s="158" t="s">
        <v>92</v>
      </c>
      <c r="K25" s="27">
        <v>1200</v>
      </c>
      <c r="L25" s="158">
        <v>0.01</v>
      </c>
      <c r="M25" s="18" t="s">
        <v>80</v>
      </c>
      <c r="N25" s="17" t="s">
        <v>88</v>
      </c>
      <c r="O25" s="31">
        <v>94.699782287899296</v>
      </c>
      <c r="P25" s="4">
        <v>4.0000000000000105E-4</v>
      </c>
      <c r="Q25" s="4">
        <v>5.1000000000000004E-3</v>
      </c>
      <c r="R25" s="4">
        <v>8.5000000000000006E-3</v>
      </c>
      <c r="S25" s="4">
        <v>1.0500000000000001E-2</v>
      </c>
    </row>
    <row r="26" spans="1:19" ht="14.25" customHeight="1">
      <c r="A26" s="18" t="s">
        <v>94</v>
      </c>
      <c r="B26" s="17" t="s">
        <v>89</v>
      </c>
      <c r="C26" s="158" t="s">
        <v>95</v>
      </c>
      <c r="D26" s="109">
        <v>-46.570383182112749</v>
      </c>
      <c r="E26" s="109">
        <v>-23.567386500000001</v>
      </c>
      <c r="F26" s="18">
        <v>2010</v>
      </c>
      <c r="G26" s="19" t="s">
        <v>90</v>
      </c>
      <c r="H26" s="18" t="s">
        <v>177</v>
      </c>
      <c r="I26" s="17" t="s">
        <v>91</v>
      </c>
      <c r="J26" s="158" t="s">
        <v>92</v>
      </c>
      <c r="K26" s="27">
        <v>1500</v>
      </c>
      <c r="L26" s="158">
        <v>0.01</v>
      </c>
      <c r="M26" s="18" t="s">
        <v>80</v>
      </c>
      <c r="N26" s="17" t="s">
        <v>88</v>
      </c>
      <c r="O26" s="31">
        <v>94.3</v>
      </c>
      <c r="P26" s="4">
        <v>6.9999999999999923E-4</v>
      </c>
      <c r="Q26" s="4">
        <v>5.1000000000000004E-3</v>
      </c>
      <c r="R26" s="4">
        <v>8.3999999999999995E-3</v>
      </c>
      <c r="S26" s="4">
        <v>0.01</v>
      </c>
    </row>
    <row r="27" spans="1:19" ht="14.25" customHeight="1">
      <c r="A27" s="18" t="s">
        <v>94</v>
      </c>
      <c r="B27" s="17" t="s">
        <v>89</v>
      </c>
      <c r="C27" s="158" t="s">
        <v>108</v>
      </c>
      <c r="D27" s="109">
        <v>-51.386765581912492</v>
      </c>
      <c r="E27" s="109">
        <v>-22.122743500000002</v>
      </c>
      <c r="F27" s="18">
        <v>2010</v>
      </c>
      <c r="G27" s="19" t="s">
        <v>90</v>
      </c>
      <c r="H27" s="18" t="s">
        <v>177</v>
      </c>
      <c r="I27" s="17" t="s">
        <v>91</v>
      </c>
      <c r="J27" s="158" t="s">
        <v>92</v>
      </c>
      <c r="K27" s="27">
        <v>1200</v>
      </c>
      <c r="L27" s="158">
        <v>0.01</v>
      </c>
      <c r="M27" s="18" t="s">
        <v>80</v>
      </c>
      <c r="N27" s="17" t="s">
        <v>88</v>
      </c>
      <c r="O27" s="31">
        <v>90.307481281595827</v>
      </c>
      <c r="P27" s="4">
        <v>5.0000000000000044E-4</v>
      </c>
      <c r="Q27" s="4">
        <v>5.4000000000000003E-3</v>
      </c>
      <c r="R27" s="4">
        <v>9.4999999999999998E-3</v>
      </c>
      <c r="S27" s="4">
        <v>1.2E-2</v>
      </c>
    </row>
    <row r="28" spans="1:19" ht="14.25" customHeight="1">
      <c r="A28" s="18" t="s">
        <v>94</v>
      </c>
      <c r="B28" s="17" t="s">
        <v>89</v>
      </c>
      <c r="C28" s="158" t="s">
        <v>109</v>
      </c>
      <c r="D28" s="109">
        <v>-47.805475915541528</v>
      </c>
      <c r="E28" s="109">
        <v>-21.184834500000004</v>
      </c>
      <c r="F28" s="18">
        <v>2010</v>
      </c>
      <c r="G28" s="19" t="s">
        <v>90</v>
      </c>
      <c r="H28" s="18" t="s">
        <v>177</v>
      </c>
      <c r="I28" s="17" t="s">
        <v>91</v>
      </c>
      <c r="J28" s="158" t="s">
        <v>92</v>
      </c>
      <c r="K28" s="27">
        <v>1200</v>
      </c>
      <c r="L28" s="158">
        <v>0.01</v>
      </c>
      <c r="M28" s="18" t="s">
        <v>80</v>
      </c>
      <c r="N28" s="17" t="s">
        <v>88</v>
      </c>
      <c r="O28" s="31">
        <v>90.4</v>
      </c>
      <c r="P28" s="4">
        <v>4.0000000000000105E-4</v>
      </c>
      <c r="Q28" s="4">
        <v>5.4999999999999997E-3</v>
      </c>
      <c r="R28" s="4">
        <v>9.4000000000000004E-3</v>
      </c>
      <c r="S28" s="4">
        <v>1.2E-2</v>
      </c>
    </row>
    <row r="29" spans="1:19" ht="14.25" customHeight="1">
      <c r="A29" s="18" t="s">
        <v>94</v>
      </c>
      <c r="B29" s="17" t="s">
        <v>89</v>
      </c>
      <c r="C29" s="158" t="s">
        <v>127</v>
      </c>
      <c r="D29" s="109">
        <v>-46.922092505649722</v>
      </c>
      <c r="E29" s="109">
        <v>-23.449453000000005</v>
      </c>
      <c r="F29" s="18">
        <v>2010</v>
      </c>
      <c r="G29" s="19" t="s">
        <v>90</v>
      </c>
      <c r="H29" s="18" t="s">
        <v>177</v>
      </c>
      <c r="I29" s="17" t="s">
        <v>91</v>
      </c>
      <c r="J29" s="158" t="s">
        <v>92</v>
      </c>
      <c r="K29" s="27">
        <v>1200</v>
      </c>
      <c r="L29" s="158">
        <v>0.01</v>
      </c>
      <c r="M29" s="18" t="s">
        <v>80</v>
      </c>
      <c r="N29" s="17" t="s">
        <v>88</v>
      </c>
      <c r="O29" s="31">
        <v>97.147354482002399</v>
      </c>
      <c r="P29" s="4">
        <v>1.9999999999999966E-4</v>
      </c>
      <c r="Q29" s="4">
        <v>5.0000000000000001E-3</v>
      </c>
      <c r="R29" s="4">
        <v>7.7999999999999996E-3</v>
      </c>
      <c r="S29" s="4">
        <v>9.4000000000000004E-3</v>
      </c>
    </row>
    <row r="30" spans="1:19" ht="14.25" customHeight="1">
      <c r="A30" s="18" t="s">
        <v>94</v>
      </c>
      <c r="B30" s="17" t="s">
        <v>89</v>
      </c>
      <c r="C30" s="158" t="s">
        <v>152</v>
      </c>
      <c r="D30" s="109">
        <v>-46.331370849190684</v>
      </c>
      <c r="E30" s="109">
        <v>-23.933737500000003</v>
      </c>
      <c r="F30" s="18">
        <v>2010</v>
      </c>
      <c r="G30" s="19" t="s">
        <v>90</v>
      </c>
      <c r="H30" s="18" t="s">
        <v>177</v>
      </c>
      <c r="I30" s="17" t="s">
        <v>91</v>
      </c>
      <c r="J30" s="158" t="s">
        <v>92</v>
      </c>
      <c r="K30" s="27">
        <v>1200</v>
      </c>
      <c r="L30" s="158">
        <v>0.01</v>
      </c>
      <c r="M30" s="18" t="s">
        <v>80</v>
      </c>
      <c r="N30" s="17" t="s">
        <v>88</v>
      </c>
      <c r="O30" s="31">
        <v>91.8</v>
      </c>
      <c r="P30" s="4">
        <v>3.9999999999999931E-4</v>
      </c>
      <c r="Q30" s="4">
        <v>5.1000000000000004E-3</v>
      </c>
      <c r="R30" s="4">
        <v>9.1999999999999998E-3</v>
      </c>
      <c r="S30" s="4">
        <v>1.2E-2</v>
      </c>
    </row>
    <row r="31" spans="1:19" ht="14.25" customHeight="1">
      <c r="A31" s="18" t="s">
        <v>94</v>
      </c>
      <c r="B31" s="17" t="s">
        <v>89</v>
      </c>
      <c r="C31" s="158" t="s">
        <v>111</v>
      </c>
      <c r="D31" s="109">
        <v>-47.889237684691636</v>
      </c>
      <c r="E31" s="109">
        <v>-22.015998500000002</v>
      </c>
      <c r="F31" s="18">
        <v>2010</v>
      </c>
      <c r="G31" s="19" t="s">
        <v>90</v>
      </c>
      <c r="H31" s="18" t="s">
        <v>177</v>
      </c>
      <c r="I31" s="17" t="s">
        <v>91</v>
      </c>
      <c r="J31" s="158" t="s">
        <v>92</v>
      </c>
      <c r="K31" s="27">
        <v>1200</v>
      </c>
      <c r="L31" s="158">
        <v>0.01</v>
      </c>
      <c r="M31" s="18" t="s">
        <v>80</v>
      </c>
      <c r="N31" s="17" t="s">
        <v>88</v>
      </c>
      <c r="O31" s="31">
        <v>94.962975537628736</v>
      </c>
      <c r="P31" s="3">
        <v>5.0000000000000001E-4</v>
      </c>
      <c r="Q31" s="4">
        <v>3.8E-3</v>
      </c>
      <c r="R31" s="4">
        <v>8.3999999999999995E-3</v>
      </c>
      <c r="S31" s="4">
        <v>1.2E-2</v>
      </c>
    </row>
    <row r="32" spans="1:19" ht="14.25" customHeight="1">
      <c r="A32" s="18" t="s">
        <v>94</v>
      </c>
      <c r="B32" s="17" t="s">
        <v>89</v>
      </c>
      <c r="C32" s="158" t="s">
        <v>131</v>
      </c>
      <c r="D32" s="109">
        <v>-49.381347685025794</v>
      </c>
      <c r="E32" s="109">
        <v>-20.812636500000004</v>
      </c>
      <c r="F32" s="18">
        <v>2010</v>
      </c>
      <c r="G32" s="19" t="s">
        <v>90</v>
      </c>
      <c r="H32" s="18" t="s">
        <v>177</v>
      </c>
      <c r="I32" s="17" t="s">
        <v>91</v>
      </c>
      <c r="J32" s="158" t="s">
        <v>92</v>
      </c>
      <c r="K32" s="27">
        <v>1200</v>
      </c>
      <c r="L32" s="158">
        <v>0.01</v>
      </c>
      <c r="M32" s="18" t="s">
        <v>80</v>
      </c>
      <c r="N32" s="17" t="s">
        <v>88</v>
      </c>
      <c r="O32" s="31">
        <v>87.173372245945473</v>
      </c>
      <c r="P32" s="4">
        <v>6.0000000000000157E-4</v>
      </c>
      <c r="Q32" s="4">
        <v>5.7999999999999996E-3</v>
      </c>
      <c r="R32" s="4">
        <v>9.9000000000000008E-3</v>
      </c>
      <c r="S32" s="4">
        <v>1.2E-2</v>
      </c>
    </row>
    <row r="33" spans="1:20" ht="14.25" customHeight="1">
      <c r="A33" s="18" t="s">
        <v>94</v>
      </c>
      <c r="B33" s="17" t="s">
        <v>89</v>
      </c>
      <c r="C33" s="158" t="s">
        <v>113</v>
      </c>
      <c r="D33" s="109">
        <v>-45.402680140543957</v>
      </c>
      <c r="E33" s="109">
        <v>-23.806687652148753</v>
      </c>
      <c r="F33" s="18">
        <v>2010</v>
      </c>
      <c r="G33" s="19" t="s">
        <v>90</v>
      </c>
      <c r="H33" s="18" t="s">
        <v>177</v>
      </c>
      <c r="I33" s="17" t="s">
        <v>91</v>
      </c>
      <c r="J33" s="158" t="s">
        <v>92</v>
      </c>
      <c r="K33" s="27">
        <v>1500</v>
      </c>
      <c r="L33" s="158">
        <v>0.01</v>
      </c>
      <c r="M33" s="18" t="s">
        <v>80</v>
      </c>
      <c r="N33" s="17" t="s">
        <v>88</v>
      </c>
      <c r="O33" s="31">
        <v>86.59144009435127</v>
      </c>
      <c r="P33" s="4">
        <v>4.0000000000000105E-4</v>
      </c>
      <c r="Q33" s="4">
        <v>6.0000000000000001E-3</v>
      </c>
      <c r="R33" s="4">
        <v>9.9000000000000008E-3</v>
      </c>
      <c r="S33" s="4">
        <v>1.2E-2</v>
      </c>
    </row>
    <row r="34" spans="1:20" ht="14.25" customHeight="1" thickBot="1">
      <c r="A34" s="21" t="s">
        <v>94</v>
      </c>
      <c r="B34" s="21" t="s">
        <v>89</v>
      </c>
      <c r="C34" s="11" t="s">
        <v>141</v>
      </c>
      <c r="D34" s="110">
        <v>-47.887905478031342</v>
      </c>
      <c r="E34" s="110">
        <v>-15.794087361891002</v>
      </c>
      <c r="F34" s="21">
        <v>2010</v>
      </c>
      <c r="G34" s="22" t="s">
        <v>90</v>
      </c>
      <c r="H34" s="21" t="s">
        <v>177</v>
      </c>
      <c r="I34" s="21" t="s">
        <v>91</v>
      </c>
      <c r="J34" s="11" t="s">
        <v>92</v>
      </c>
      <c r="K34" s="11">
        <v>1200</v>
      </c>
      <c r="L34" s="11">
        <v>0.01</v>
      </c>
      <c r="M34" s="21" t="s">
        <v>80</v>
      </c>
      <c r="N34" s="21" t="s">
        <v>88</v>
      </c>
      <c r="O34" s="30">
        <v>90.657285086692838</v>
      </c>
      <c r="P34" s="29">
        <v>9.2999999999999992E-3</v>
      </c>
      <c r="Q34" s="29">
        <v>5.5999999999999999E-3</v>
      </c>
      <c r="R34" s="29">
        <v>9.2999999999999992E-3</v>
      </c>
      <c r="S34" s="29">
        <v>1.0999999999999999E-2</v>
      </c>
    </row>
    <row r="35" spans="1:20" ht="14.25" customHeight="1">
      <c r="A35" s="18" t="s">
        <v>94</v>
      </c>
      <c r="B35" s="17" t="s">
        <v>89</v>
      </c>
      <c r="C35" s="20" t="s">
        <v>124</v>
      </c>
      <c r="D35" s="261"/>
      <c r="E35" s="262"/>
      <c r="F35" s="18">
        <v>2010</v>
      </c>
      <c r="G35" s="19" t="s">
        <v>90</v>
      </c>
      <c r="H35" s="17" t="s">
        <v>188</v>
      </c>
      <c r="I35" s="17" t="s">
        <v>91</v>
      </c>
      <c r="J35" s="158" t="s">
        <v>20</v>
      </c>
      <c r="K35" s="27">
        <v>600</v>
      </c>
      <c r="L35" s="31">
        <v>73</v>
      </c>
      <c r="M35" s="111" t="s">
        <v>50</v>
      </c>
      <c r="N35" s="158" t="s">
        <v>88</v>
      </c>
      <c r="O35" s="27">
        <v>100</v>
      </c>
      <c r="P35" s="28">
        <v>0</v>
      </c>
    </row>
    <row r="36" spans="1:20" ht="14.25" customHeight="1">
      <c r="A36" s="18" t="s">
        <v>94</v>
      </c>
      <c r="B36" s="17" t="s">
        <v>89</v>
      </c>
      <c r="C36" s="61" t="s">
        <v>100</v>
      </c>
      <c r="D36" s="109">
        <v>-50.439226072752582</v>
      </c>
      <c r="E36" s="109">
        <v>-21.205476000000004</v>
      </c>
      <c r="F36" s="18">
        <v>2010</v>
      </c>
      <c r="G36" s="19" t="s">
        <v>90</v>
      </c>
      <c r="H36" s="17" t="s">
        <v>188</v>
      </c>
      <c r="I36" s="17" t="s">
        <v>91</v>
      </c>
      <c r="J36" s="158" t="s">
        <v>20</v>
      </c>
      <c r="K36" s="63">
        <v>600</v>
      </c>
      <c r="L36" s="24">
        <v>146</v>
      </c>
      <c r="M36" s="111" t="s">
        <v>50</v>
      </c>
      <c r="N36" s="158" t="s">
        <v>88</v>
      </c>
      <c r="O36" s="64">
        <v>64.7</v>
      </c>
      <c r="P36" s="10">
        <v>22.403422357607166</v>
      </c>
    </row>
    <row r="37" spans="1:20" ht="14.25" customHeight="1">
      <c r="A37" s="18" t="s">
        <v>94</v>
      </c>
      <c r="B37" s="17" t="s">
        <v>89</v>
      </c>
      <c r="C37" s="61" t="s">
        <v>101</v>
      </c>
      <c r="D37" s="109">
        <v>-48.567377839455055</v>
      </c>
      <c r="E37" s="109">
        <v>-20.558455515000002</v>
      </c>
      <c r="F37" s="18">
        <v>2010</v>
      </c>
      <c r="G37" s="19" t="s">
        <v>90</v>
      </c>
      <c r="H37" s="17" t="s">
        <v>188</v>
      </c>
      <c r="I37" s="17" t="s">
        <v>91</v>
      </c>
      <c r="J37" s="158" t="s">
        <v>20</v>
      </c>
      <c r="K37" s="63">
        <v>1500</v>
      </c>
      <c r="L37" s="24">
        <v>146</v>
      </c>
      <c r="M37" s="111" t="s">
        <v>50</v>
      </c>
      <c r="N37" s="158" t="s">
        <v>88</v>
      </c>
      <c r="O37" s="64">
        <v>79.3</v>
      </c>
      <c r="P37" s="10">
        <v>16.706884808365672</v>
      </c>
      <c r="Q37" s="87"/>
      <c r="R37" s="61"/>
      <c r="S37" s="61"/>
      <c r="T37" s="54"/>
    </row>
    <row r="38" spans="1:20" ht="14.25" customHeight="1">
      <c r="A38" s="18" t="s">
        <v>94</v>
      </c>
      <c r="B38" s="17" t="s">
        <v>89</v>
      </c>
      <c r="C38" s="61" t="s">
        <v>102</v>
      </c>
      <c r="D38" s="109">
        <v>-49.083000867090362</v>
      </c>
      <c r="E38" s="109">
        <v>-22.325122500000006</v>
      </c>
      <c r="F38" s="18">
        <v>2010</v>
      </c>
      <c r="G38" s="19" t="s">
        <v>90</v>
      </c>
      <c r="H38" s="17" t="s">
        <v>188</v>
      </c>
      <c r="I38" s="17" t="s">
        <v>91</v>
      </c>
      <c r="J38" s="158" t="s">
        <v>20</v>
      </c>
      <c r="K38" s="63">
        <v>800</v>
      </c>
      <c r="L38" s="24">
        <v>146</v>
      </c>
      <c r="M38" s="111" t="s">
        <v>50</v>
      </c>
      <c r="N38" s="158" t="s">
        <v>88</v>
      </c>
      <c r="O38" s="64">
        <v>81.333333333333329</v>
      </c>
      <c r="P38" s="10">
        <v>7.8290910498388415</v>
      </c>
      <c r="Q38" s="87"/>
      <c r="R38" s="61"/>
      <c r="S38" s="61"/>
      <c r="T38" s="54"/>
    </row>
    <row r="39" spans="1:20" ht="14.25" customHeight="1">
      <c r="A39" s="18" t="s">
        <v>94</v>
      </c>
      <c r="B39" s="17" t="s">
        <v>89</v>
      </c>
      <c r="C39" s="61" t="s">
        <v>103</v>
      </c>
      <c r="D39" s="109">
        <v>-48.441289384350434</v>
      </c>
      <c r="E39" s="109">
        <v>-22.888381500000008</v>
      </c>
      <c r="F39" s="18">
        <v>2010</v>
      </c>
      <c r="G39" s="19" t="s">
        <v>90</v>
      </c>
      <c r="H39" s="17" t="s">
        <v>188</v>
      </c>
      <c r="I39" s="17" t="s">
        <v>91</v>
      </c>
      <c r="J39" s="158" t="s">
        <v>20</v>
      </c>
      <c r="K39" s="61">
        <v>750</v>
      </c>
      <c r="L39" s="24">
        <v>146</v>
      </c>
      <c r="M39" s="111" t="s">
        <v>50</v>
      </c>
      <c r="N39" s="158" t="s">
        <v>88</v>
      </c>
      <c r="O39" s="64">
        <v>95.78</v>
      </c>
      <c r="P39" s="53">
        <v>5.5</v>
      </c>
      <c r="Q39" s="85"/>
      <c r="R39" s="85"/>
      <c r="S39" s="85"/>
      <c r="T39" s="59"/>
    </row>
    <row r="40" spans="1:20" ht="14.25" customHeight="1">
      <c r="A40" s="18" t="s">
        <v>94</v>
      </c>
      <c r="B40" s="17" t="s">
        <v>89</v>
      </c>
      <c r="C40" s="61" t="s">
        <v>107</v>
      </c>
      <c r="D40" s="109">
        <v>-49.951645643103269</v>
      </c>
      <c r="E40" s="109">
        <v>-22.214933000000002</v>
      </c>
      <c r="F40" s="18">
        <v>2010</v>
      </c>
      <c r="G40" s="19" t="s">
        <v>90</v>
      </c>
      <c r="H40" s="17" t="s">
        <v>188</v>
      </c>
      <c r="I40" s="17" t="s">
        <v>91</v>
      </c>
      <c r="J40" s="158" t="s">
        <v>20</v>
      </c>
      <c r="K40" s="63">
        <v>600</v>
      </c>
      <c r="L40" s="24">
        <v>146</v>
      </c>
      <c r="M40" s="111" t="s">
        <v>50</v>
      </c>
      <c r="N40" s="158" t="s">
        <v>88</v>
      </c>
      <c r="O40" s="64">
        <v>86.424999999999997</v>
      </c>
      <c r="P40" s="10">
        <v>10.739141803080338</v>
      </c>
      <c r="Q40" s="61"/>
      <c r="S40" s="63"/>
      <c r="T40" s="54"/>
    </row>
    <row r="41" spans="1:20" ht="14.25" customHeight="1">
      <c r="A41" s="18" t="s">
        <v>94</v>
      </c>
      <c r="B41" s="17" t="s">
        <v>89</v>
      </c>
      <c r="C41" s="61" t="s">
        <v>95</v>
      </c>
      <c r="D41" s="109">
        <v>-46.570383182112749</v>
      </c>
      <c r="E41" s="109">
        <v>-23.567386500000001</v>
      </c>
      <c r="F41" s="18">
        <v>2010</v>
      </c>
      <c r="G41" s="19" t="s">
        <v>90</v>
      </c>
      <c r="H41" s="17" t="s">
        <v>188</v>
      </c>
      <c r="I41" s="17" t="s">
        <v>91</v>
      </c>
      <c r="J41" s="158" t="s">
        <v>20</v>
      </c>
      <c r="K41" s="61">
        <v>1350</v>
      </c>
      <c r="L41" s="24">
        <v>146</v>
      </c>
      <c r="M41" s="111" t="s">
        <v>50</v>
      </c>
      <c r="N41" s="158" t="s">
        <v>88</v>
      </c>
      <c r="O41" s="64">
        <v>84.155555555555566</v>
      </c>
      <c r="P41" s="10">
        <v>8.8844120670856892</v>
      </c>
      <c r="Q41" s="61"/>
      <c r="S41" s="63"/>
      <c r="T41" s="55"/>
    </row>
    <row r="42" spans="1:20" ht="14.25" customHeight="1">
      <c r="A42" s="18" t="s">
        <v>94</v>
      </c>
      <c r="B42" s="17" t="s">
        <v>89</v>
      </c>
      <c r="C42" s="61" t="s">
        <v>108</v>
      </c>
      <c r="D42" s="109">
        <v>-51.386765581912492</v>
      </c>
      <c r="E42" s="109">
        <v>-22.122743500000002</v>
      </c>
      <c r="F42" s="18">
        <v>2010</v>
      </c>
      <c r="G42" s="19" t="s">
        <v>90</v>
      </c>
      <c r="H42" s="17" t="s">
        <v>188</v>
      </c>
      <c r="I42" s="17" t="s">
        <v>91</v>
      </c>
      <c r="J42" s="158" t="s">
        <v>20</v>
      </c>
      <c r="K42" s="63">
        <v>750</v>
      </c>
      <c r="L42" s="24">
        <v>146</v>
      </c>
      <c r="M42" s="111" t="s">
        <v>50</v>
      </c>
      <c r="N42" s="158" t="s">
        <v>88</v>
      </c>
      <c r="O42" s="86">
        <v>69.52000000000001</v>
      </c>
      <c r="P42" s="53">
        <v>11.189593379564757</v>
      </c>
      <c r="Q42" s="61"/>
      <c r="S42" s="63"/>
      <c r="T42" s="55"/>
    </row>
    <row r="43" spans="1:20" ht="14.25" customHeight="1">
      <c r="A43" s="18" t="s">
        <v>94</v>
      </c>
      <c r="B43" s="17" t="s">
        <v>89</v>
      </c>
      <c r="C43" s="61" t="s">
        <v>109</v>
      </c>
      <c r="D43" s="109">
        <v>-47.805475915541528</v>
      </c>
      <c r="E43" s="109">
        <v>-21.184834500000004</v>
      </c>
      <c r="F43" s="18">
        <v>2010</v>
      </c>
      <c r="G43" s="19" t="s">
        <v>90</v>
      </c>
      <c r="H43" s="17" t="s">
        <v>188</v>
      </c>
      <c r="I43" s="17" t="s">
        <v>91</v>
      </c>
      <c r="J43" s="158" t="s">
        <v>20</v>
      </c>
      <c r="K43" s="63">
        <v>600</v>
      </c>
      <c r="L43" s="24">
        <v>146</v>
      </c>
      <c r="M43" s="111" t="s">
        <v>50</v>
      </c>
      <c r="N43" s="158" t="s">
        <v>88</v>
      </c>
      <c r="O43" s="64">
        <v>76.325000000000003</v>
      </c>
      <c r="P43" s="10">
        <v>6.3363370070306937</v>
      </c>
      <c r="S43" s="61"/>
      <c r="T43" s="57"/>
    </row>
    <row r="44" spans="1:20" ht="14.25" customHeight="1">
      <c r="A44" s="18" t="s">
        <v>94</v>
      </c>
      <c r="B44" s="17" t="s">
        <v>89</v>
      </c>
      <c r="C44" s="61" t="s">
        <v>127</v>
      </c>
      <c r="D44" s="109">
        <v>-46.922092505649722</v>
      </c>
      <c r="E44" s="109">
        <v>-23.449453000000005</v>
      </c>
      <c r="F44" s="18">
        <v>2010</v>
      </c>
      <c r="G44" s="19" t="s">
        <v>90</v>
      </c>
      <c r="H44" s="17" t="s">
        <v>188</v>
      </c>
      <c r="I44" s="17" t="s">
        <v>91</v>
      </c>
      <c r="J44" s="158" t="s">
        <v>20</v>
      </c>
      <c r="K44" s="61">
        <v>600</v>
      </c>
      <c r="L44" s="24">
        <v>146</v>
      </c>
      <c r="M44" s="111" t="s">
        <v>50</v>
      </c>
      <c r="N44" s="158" t="s">
        <v>88</v>
      </c>
      <c r="O44" s="64">
        <v>77.3</v>
      </c>
      <c r="P44" s="10">
        <v>8.1784269066041517</v>
      </c>
      <c r="S44" s="61"/>
      <c r="T44" s="55"/>
    </row>
    <row r="45" spans="1:20" ht="14.25" customHeight="1">
      <c r="A45" s="18" t="s">
        <v>94</v>
      </c>
      <c r="B45" s="17" t="s">
        <v>89</v>
      </c>
      <c r="C45" s="61" t="s">
        <v>111</v>
      </c>
      <c r="D45" s="109">
        <v>-47.889237684691636</v>
      </c>
      <c r="E45" s="109">
        <v>-22.015998500000002</v>
      </c>
      <c r="F45" s="18">
        <v>2010</v>
      </c>
      <c r="G45" s="19" t="s">
        <v>90</v>
      </c>
      <c r="H45" s="17" t="s">
        <v>188</v>
      </c>
      <c r="I45" s="17" t="s">
        <v>91</v>
      </c>
      <c r="J45" s="158" t="s">
        <v>20</v>
      </c>
      <c r="K45" s="63">
        <v>750</v>
      </c>
      <c r="L45" s="24">
        <v>146</v>
      </c>
      <c r="M45" s="111" t="s">
        <v>50</v>
      </c>
      <c r="N45" s="158" t="s">
        <v>88</v>
      </c>
      <c r="O45" s="64">
        <v>87.140000000000015</v>
      </c>
      <c r="P45" s="10">
        <v>5.0948994101944711</v>
      </c>
      <c r="S45" s="61"/>
      <c r="T45" s="57"/>
    </row>
    <row r="46" spans="1:20" ht="14.25" customHeight="1">
      <c r="A46" s="18" t="s">
        <v>94</v>
      </c>
      <c r="B46" s="17" t="s">
        <v>89</v>
      </c>
      <c r="C46" s="61" t="s">
        <v>131</v>
      </c>
      <c r="D46" s="109">
        <v>-49.381347685025794</v>
      </c>
      <c r="E46" s="109">
        <v>-20.812636500000004</v>
      </c>
      <c r="F46" s="18">
        <v>2010</v>
      </c>
      <c r="G46" s="19" t="s">
        <v>90</v>
      </c>
      <c r="H46" s="17" t="s">
        <v>188</v>
      </c>
      <c r="I46" s="17" t="s">
        <v>91</v>
      </c>
      <c r="J46" s="158" t="s">
        <v>20</v>
      </c>
      <c r="K46" s="63">
        <v>750</v>
      </c>
      <c r="L46" s="24">
        <v>146</v>
      </c>
      <c r="M46" s="111" t="s">
        <v>50</v>
      </c>
      <c r="N46" s="158" t="s">
        <v>88</v>
      </c>
      <c r="O46" s="64">
        <v>71.72</v>
      </c>
      <c r="P46" s="10">
        <v>8.7227862521099659</v>
      </c>
      <c r="Q46" s="61"/>
      <c r="S46" s="63"/>
      <c r="T46" s="58"/>
    </row>
    <row r="47" spans="1:20" ht="14.25" customHeight="1">
      <c r="A47" s="18" t="s">
        <v>94</v>
      </c>
      <c r="B47" s="17" t="s">
        <v>89</v>
      </c>
      <c r="C47" s="61" t="s">
        <v>113</v>
      </c>
      <c r="D47" s="109">
        <v>-45.402680140543957</v>
      </c>
      <c r="E47" s="109">
        <v>-23.806687652148753</v>
      </c>
      <c r="F47" s="18">
        <v>2010</v>
      </c>
      <c r="G47" s="19" t="s">
        <v>90</v>
      </c>
      <c r="H47" s="17" t="s">
        <v>188</v>
      </c>
      <c r="I47" s="17" t="s">
        <v>91</v>
      </c>
      <c r="J47" s="158" t="s">
        <v>20</v>
      </c>
      <c r="K47" s="63">
        <v>900</v>
      </c>
      <c r="L47" s="24">
        <v>146</v>
      </c>
      <c r="M47" s="111" t="s">
        <v>50</v>
      </c>
      <c r="N47" s="158" t="s">
        <v>88</v>
      </c>
      <c r="O47" s="64">
        <v>74.600000000000009</v>
      </c>
      <c r="P47" s="10">
        <v>17.079929742244271</v>
      </c>
      <c r="Q47" s="61"/>
      <c r="S47" s="61"/>
      <c r="T47" s="56"/>
    </row>
    <row r="48" spans="1:20" ht="14.25" customHeight="1">
      <c r="A48" s="18" t="s">
        <v>94</v>
      </c>
      <c r="B48" s="17" t="s">
        <v>89</v>
      </c>
      <c r="C48" s="61" t="s">
        <v>119</v>
      </c>
      <c r="D48" s="109">
        <v>-60.023335181061036</v>
      </c>
      <c r="E48" s="109">
        <v>-3.1346914912019459</v>
      </c>
      <c r="F48" s="18">
        <v>2010</v>
      </c>
      <c r="G48" s="19" t="s">
        <v>90</v>
      </c>
      <c r="H48" s="17" t="s">
        <v>188</v>
      </c>
      <c r="I48" s="17" t="s">
        <v>91</v>
      </c>
      <c r="J48" s="158" t="s">
        <v>20</v>
      </c>
      <c r="K48" s="63">
        <v>750</v>
      </c>
      <c r="L48" s="24">
        <v>146</v>
      </c>
      <c r="M48" s="111" t="s">
        <v>50</v>
      </c>
      <c r="N48" s="158" t="s">
        <v>88</v>
      </c>
      <c r="O48" s="64">
        <v>96.52000000000001</v>
      </c>
      <c r="P48" s="10">
        <v>5.5346183246905118</v>
      </c>
      <c r="Q48" s="61"/>
      <c r="S48" s="61"/>
      <c r="T48" s="58"/>
    </row>
    <row r="49" spans="1:20" ht="14.25" customHeight="1">
      <c r="A49" s="18" t="s">
        <v>94</v>
      </c>
      <c r="B49" s="17" t="s">
        <v>89</v>
      </c>
      <c r="C49" s="61" t="s">
        <v>180</v>
      </c>
      <c r="D49" s="109">
        <v>-40.502460574994096</v>
      </c>
      <c r="E49" s="109">
        <v>-7.578141500000001</v>
      </c>
      <c r="F49" s="18">
        <v>2010</v>
      </c>
      <c r="G49" s="19" t="s">
        <v>90</v>
      </c>
      <c r="H49" s="17" t="s">
        <v>188</v>
      </c>
      <c r="I49" s="17" t="s">
        <v>91</v>
      </c>
      <c r="J49" s="158" t="s">
        <v>20</v>
      </c>
      <c r="K49" s="61">
        <v>600</v>
      </c>
      <c r="L49" s="24">
        <v>146</v>
      </c>
      <c r="M49" s="111" t="s">
        <v>50</v>
      </c>
      <c r="N49" s="158" t="s">
        <v>88</v>
      </c>
      <c r="O49" s="64">
        <v>93.924999999999997</v>
      </c>
      <c r="P49" s="10">
        <v>9.099954212339016</v>
      </c>
      <c r="Q49" s="61"/>
      <c r="S49" s="63"/>
      <c r="T49" s="58"/>
    </row>
    <row r="50" spans="1:20" ht="14.25" customHeight="1">
      <c r="A50" s="18" t="s">
        <v>94</v>
      </c>
      <c r="B50" s="17" t="s">
        <v>89</v>
      </c>
      <c r="C50" s="61" t="s">
        <v>181</v>
      </c>
      <c r="D50" s="109">
        <v>-34.888941944577716</v>
      </c>
      <c r="E50" s="109">
        <v>-8.0627624830524081</v>
      </c>
      <c r="F50" s="18">
        <v>2010</v>
      </c>
      <c r="G50" s="19" t="s">
        <v>90</v>
      </c>
      <c r="H50" s="17" t="s">
        <v>188</v>
      </c>
      <c r="I50" s="17" t="s">
        <v>91</v>
      </c>
      <c r="J50" s="158" t="s">
        <v>20</v>
      </c>
      <c r="K50" s="61">
        <v>900</v>
      </c>
      <c r="L50" s="24">
        <v>146</v>
      </c>
      <c r="M50" s="111" t="s">
        <v>50</v>
      </c>
      <c r="N50" s="158" t="s">
        <v>88</v>
      </c>
      <c r="O50" s="64">
        <v>93.383333333333326</v>
      </c>
      <c r="P50" s="10">
        <v>4.7922506890465035</v>
      </c>
      <c r="Q50" s="61"/>
      <c r="S50" s="63"/>
      <c r="T50" s="58"/>
    </row>
    <row r="51" spans="1:20" ht="14.25" customHeight="1" thickBot="1">
      <c r="A51" s="21" t="s">
        <v>94</v>
      </c>
      <c r="B51" s="21" t="s">
        <v>89</v>
      </c>
      <c r="C51" s="62" t="s">
        <v>182</v>
      </c>
      <c r="D51" s="110">
        <v>-43.020644738325494</v>
      </c>
      <c r="E51" s="110">
        <v>-6.7696724337863605</v>
      </c>
      <c r="F51" s="21">
        <v>2010</v>
      </c>
      <c r="G51" s="22" t="s">
        <v>90</v>
      </c>
      <c r="H51" s="21" t="s">
        <v>188</v>
      </c>
      <c r="I51" s="21" t="s">
        <v>91</v>
      </c>
      <c r="J51" s="11" t="s">
        <v>20</v>
      </c>
      <c r="K51" s="62">
        <v>600</v>
      </c>
      <c r="L51" s="25">
        <v>146</v>
      </c>
      <c r="M51" s="114" t="s">
        <v>50</v>
      </c>
      <c r="N51" s="11" t="s">
        <v>88</v>
      </c>
      <c r="O51" s="65">
        <v>94.45</v>
      </c>
      <c r="P51" s="25">
        <v>5.8</v>
      </c>
      <c r="Q51" s="61"/>
      <c r="S51" s="61"/>
      <c r="T51" s="58"/>
    </row>
    <row r="52" spans="1:20" ht="14.25" customHeight="1">
      <c r="A52" s="18" t="s">
        <v>94</v>
      </c>
      <c r="B52" s="17" t="s">
        <v>89</v>
      </c>
      <c r="C52" s="20" t="s">
        <v>124</v>
      </c>
      <c r="D52" s="261"/>
      <c r="E52" s="262"/>
      <c r="F52" s="18">
        <v>2010</v>
      </c>
      <c r="G52" s="19" t="s">
        <v>90</v>
      </c>
      <c r="H52" s="17" t="s">
        <v>188</v>
      </c>
      <c r="I52" s="17" t="s">
        <v>91</v>
      </c>
      <c r="J52" s="18" t="s">
        <v>93</v>
      </c>
      <c r="K52" s="18">
        <v>600</v>
      </c>
      <c r="L52" s="24">
        <v>146</v>
      </c>
      <c r="M52" s="111" t="s">
        <v>50</v>
      </c>
      <c r="N52" s="158" t="s">
        <v>88</v>
      </c>
      <c r="O52" s="18">
        <v>100</v>
      </c>
      <c r="P52" s="24">
        <v>0</v>
      </c>
      <c r="Q52" s="61"/>
      <c r="S52" s="63"/>
      <c r="T52" s="60"/>
    </row>
    <row r="53" spans="1:20" ht="14.25" customHeight="1">
      <c r="A53" s="18" t="s">
        <v>94</v>
      </c>
      <c r="B53" s="17" t="s">
        <v>89</v>
      </c>
      <c r="C53" s="61" t="s">
        <v>100</v>
      </c>
      <c r="D53" s="109">
        <v>-50.439226072752582</v>
      </c>
      <c r="E53" s="109">
        <v>-21.205476000000004</v>
      </c>
      <c r="F53" s="18">
        <v>2010</v>
      </c>
      <c r="G53" s="19" t="s">
        <v>90</v>
      </c>
      <c r="H53" s="17" t="s">
        <v>188</v>
      </c>
      <c r="I53" s="17" t="s">
        <v>91</v>
      </c>
      <c r="J53" s="18" t="s">
        <v>93</v>
      </c>
      <c r="K53" s="63">
        <v>600</v>
      </c>
      <c r="L53" s="64">
        <v>292</v>
      </c>
      <c r="M53" s="111" t="s">
        <v>50</v>
      </c>
      <c r="N53" s="158" t="s">
        <v>88</v>
      </c>
      <c r="O53" s="64">
        <v>99.5</v>
      </c>
      <c r="P53" s="24">
        <v>1</v>
      </c>
      <c r="Q53" s="61"/>
      <c r="S53" s="61"/>
      <c r="T53" s="55"/>
    </row>
    <row r="54" spans="1:20" ht="14.25" customHeight="1">
      <c r="A54" s="18" t="s">
        <v>94</v>
      </c>
      <c r="B54" s="17" t="s">
        <v>89</v>
      </c>
      <c r="C54" s="61" t="s">
        <v>101</v>
      </c>
      <c r="D54" s="109">
        <v>-48.567377839455055</v>
      </c>
      <c r="E54" s="109">
        <v>-20.558455515000002</v>
      </c>
      <c r="F54" s="18">
        <v>2010</v>
      </c>
      <c r="G54" s="19" t="s">
        <v>90</v>
      </c>
      <c r="H54" s="17" t="s">
        <v>188</v>
      </c>
      <c r="I54" s="17" t="s">
        <v>91</v>
      </c>
      <c r="J54" s="18" t="s">
        <v>93</v>
      </c>
      <c r="K54" s="63">
        <v>600</v>
      </c>
      <c r="L54" s="64">
        <v>292</v>
      </c>
      <c r="M54" s="111" t="s">
        <v>50</v>
      </c>
      <c r="N54" s="158" t="s">
        <v>88</v>
      </c>
      <c r="O54" s="63">
        <v>100</v>
      </c>
      <c r="P54" s="24">
        <v>0</v>
      </c>
      <c r="Q54" s="61"/>
      <c r="S54" s="63"/>
      <c r="T54" s="55"/>
    </row>
    <row r="55" spans="1:20" ht="14.25" customHeight="1">
      <c r="A55" s="18" t="s">
        <v>94</v>
      </c>
      <c r="B55" s="17" t="s">
        <v>89</v>
      </c>
      <c r="C55" s="61" t="s">
        <v>102</v>
      </c>
      <c r="D55" s="109">
        <v>-49.083000867090362</v>
      </c>
      <c r="E55" s="109">
        <v>-22.325122500000006</v>
      </c>
      <c r="F55" s="18">
        <v>2010</v>
      </c>
      <c r="G55" s="19" t="s">
        <v>90</v>
      </c>
      <c r="H55" s="17" t="s">
        <v>188</v>
      </c>
      <c r="I55" s="17" t="s">
        <v>91</v>
      </c>
      <c r="J55" s="18" t="s">
        <v>93</v>
      </c>
      <c r="K55" s="63">
        <v>750</v>
      </c>
      <c r="L55" s="64">
        <v>292</v>
      </c>
      <c r="M55" s="111" t="s">
        <v>50</v>
      </c>
      <c r="N55" s="158" t="s">
        <v>88</v>
      </c>
      <c r="O55" s="63">
        <v>100</v>
      </c>
      <c r="P55" s="24">
        <v>0</v>
      </c>
      <c r="Q55" s="61"/>
      <c r="S55" s="61"/>
      <c r="T55" s="55"/>
    </row>
    <row r="56" spans="1:20" ht="14.25" customHeight="1">
      <c r="A56" s="18" t="s">
        <v>94</v>
      </c>
      <c r="B56" s="17" t="s">
        <v>89</v>
      </c>
      <c r="C56" s="61" t="s">
        <v>103</v>
      </c>
      <c r="D56" s="109">
        <v>-48.441289384350434</v>
      </c>
      <c r="E56" s="109">
        <v>-22.888381500000008</v>
      </c>
      <c r="F56" s="18">
        <v>2010</v>
      </c>
      <c r="G56" s="19" t="s">
        <v>90</v>
      </c>
      <c r="H56" s="17" t="s">
        <v>188</v>
      </c>
      <c r="I56" s="17" t="s">
        <v>91</v>
      </c>
      <c r="J56" s="18" t="s">
        <v>93</v>
      </c>
      <c r="K56" s="63">
        <v>600</v>
      </c>
      <c r="L56" s="64">
        <v>292</v>
      </c>
      <c r="M56" s="111" t="s">
        <v>50</v>
      </c>
      <c r="N56" s="158" t="s">
        <v>88</v>
      </c>
      <c r="O56" s="63">
        <v>100</v>
      </c>
      <c r="P56" s="24">
        <v>0</v>
      </c>
    </row>
    <row r="57" spans="1:20" ht="14.25" customHeight="1">
      <c r="A57" s="18" t="s">
        <v>94</v>
      </c>
      <c r="B57" s="17" t="s">
        <v>89</v>
      </c>
      <c r="C57" s="61" t="s">
        <v>134</v>
      </c>
      <c r="D57" s="109">
        <v>-47.299749835960981</v>
      </c>
      <c r="E57" s="109">
        <v>-23.265442500000002</v>
      </c>
      <c r="F57" s="18">
        <v>2010</v>
      </c>
      <c r="G57" s="19" t="s">
        <v>90</v>
      </c>
      <c r="H57" s="17" t="s">
        <v>188</v>
      </c>
      <c r="I57" s="17" t="s">
        <v>91</v>
      </c>
      <c r="J57" s="18" t="s">
        <v>93</v>
      </c>
      <c r="K57" s="61">
        <v>600</v>
      </c>
      <c r="L57" s="64">
        <v>292</v>
      </c>
      <c r="M57" s="111" t="s">
        <v>50</v>
      </c>
      <c r="N57" s="158" t="s">
        <v>88</v>
      </c>
      <c r="O57" s="64">
        <v>99.75</v>
      </c>
      <c r="P57" s="24">
        <v>0.5</v>
      </c>
    </row>
    <row r="58" spans="1:20" ht="14.25" customHeight="1">
      <c r="A58" s="18" t="s">
        <v>94</v>
      </c>
      <c r="B58" s="17" t="s">
        <v>89</v>
      </c>
      <c r="C58" s="61" t="s">
        <v>107</v>
      </c>
      <c r="D58" s="109">
        <v>-49.951645643103269</v>
      </c>
      <c r="E58" s="109">
        <v>-22.214933000000002</v>
      </c>
      <c r="F58" s="18">
        <v>2010</v>
      </c>
      <c r="G58" s="19" t="s">
        <v>90</v>
      </c>
      <c r="H58" s="17" t="s">
        <v>188</v>
      </c>
      <c r="I58" s="17" t="s">
        <v>91</v>
      </c>
      <c r="J58" s="18" t="s">
        <v>93</v>
      </c>
      <c r="K58" s="61">
        <v>600</v>
      </c>
      <c r="L58" s="64">
        <v>292</v>
      </c>
      <c r="M58" s="111" t="s">
        <v>50</v>
      </c>
      <c r="N58" s="158" t="s">
        <v>88</v>
      </c>
      <c r="O58" s="64">
        <v>99.75</v>
      </c>
      <c r="P58" s="24">
        <v>0.5</v>
      </c>
    </row>
    <row r="59" spans="1:20" ht="14.25" customHeight="1">
      <c r="A59" s="18" t="s">
        <v>94</v>
      </c>
      <c r="B59" s="17" t="s">
        <v>89</v>
      </c>
      <c r="C59" s="61" t="s">
        <v>95</v>
      </c>
      <c r="D59" s="109">
        <v>-46.570383182112749</v>
      </c>
      <c r="E59" s="109">
        <v>-23.567386500000001</v>
      </c>
      <c r="F59" s="18">
        <v>2010</v>
      </c>
      <c r="G59" s="19" t="s">
        <v>90</v>
      </c>
      <c r="H59" s="17" t="s">
        <v>188</v>
      </c>
      <c r="I59" s="17" t="s">
        <v>91</v>
      </c>
      <c r="J59" s="18" t="s">
        <v>93</v>
      </c>
      <c r="K59" s="61">
        <v>450</v>
      </c>
      <c r="L59" s="64">
        <v>292</v>
      </c>
      <c r="M59" s="111" t="s">
        <v>50</v>
      </c>
      <c r="N59" s="158" t="s">
        <v>88</v>
      </c>
      <c r="O59" s="61">
        <v>100</v>
      </c>
      <c r="P59" s="24">
        <v>0</v>
      </c>
    </row>
    <row r="60" spans="1:20" ht="14.25" customHeight="1">
      <c r="A60" s="18" t="s">
        <v>94</v>
      </c>
      <c r="B60" s="17" t="s">
        <v>89</v>
      </c>
      <c r="C60" s="61" t="s">
        <v>108</v>
      </c>
      <c r="D60" s="109">
        <v>-51.386765581912492</v>
      </c>
      <c r="E60" s="109">
        <v>-22.122743500000002</v>
      </c>
      <c r="F60" s="18">
        <v>2010</v>
      </c>
      <c r="G60" s="19" t="s">
        <v>90</v>
      </c>
      <c r="H60" s="17" t="s">
        <v>188</v>
      </c>
      <c r="I60" s="17" t="s">
        <v>91</v>
      </c>
      <c r="J60" s="18" t="s">
        <v>93</v>
      </c>
      <c r="K60" s="61">
        <v>600</v>
      </c>
      <c r="L60" s="64">
        <v>292</v>
      </c>
      <c r="M60" s="111" t="s">
        <v>50</v>
      </c>
      <c r="N60" s="158" t="s">
        <v>88</v>
      </c>
      <c r="O60" s="61">
        <v>100</v>
      </c>
      <c r="P60" s="24">
        <v>0</v>
      </c>
    </row>
    <row r="61" spans="1:20" ht="14.25" customHeight="1">
      <c r="A61" s="18" t="s">
        <v>94</v>
      </c>
      <c r="B61" s="17" t="s">
        <v>89</v>
      </c>
      <c r="C61" s="61" t="s">
        <v>109</v>
      </c>
      <c r="D61" s="109">
        <v>-47.805475915541528</v>
      </c>
      <c r="E61" s="109">
        <v>-21.184834500000004</v>
      </c>
      <c r="F61" s="18">
        <v>2010</v>
      </c>
      <c r="G61" s="19" t="s">
        <v>90</v>
      </c>
      <c r="H61" s="17" t="s">
        <v>188</v>
      </c>
      <c r="I61" s="17" t="s">
        <v>91</v>
      </c>
      <c r="J61" s="18" t="s">
        <v>93</v>
      </c>
      <c r="K61" s="63">
        <v>600</v>
      </c>
      <c r="L61" s="64">
        <v>292</v>
      </c>
      <c r="M61" s="111" t="s">
        <v>50</v>
      </c>
      <c r="N61" s="158" t="s">
        <v>88</v>
      </c>
      <c r="O61" s="64">
        <v>99.474999999999994</v>
      </c>
      <c r="P61" s="24">
        <v>0.6</v>
      </c>
    </row>
    <row r="62" spans="1:20" ht="14.25" customHeight="1">
      <c r="A62" s="18" t="s">
        <v>94</v>
      </c>
      <c r="B62" s="17" t="s">
        <v>89</v>
      </c>
      <c r="C62" s="61" t="s">
        <v>127</v>
      </c>
      <c r="D62" s="109">
        <v>-46.922092505649722</v>
      </c>
      <c r="E62" s="109">
        <v>-23.449453000000005</v>
      </c>
      <c r="F62" s="18">
        <v>2010</v>
      </c>
      <c r="G62" s="19" t="s">
        <v>90</v>
      </c>
      <c r="H62" s="17" t="s">
        <v>188</v>
      </c>
      <c r="I62" s="17" t="s">
        <v>91</v>
      </c>
      <c r="J62" s="18" t="s">
        <v>93</v>
      </c>
      <c r="K62" s="61">
        <v>600</v>
      </c>
      <c r="L62" s="64">
        <v>292</v>
      </c>
      <c r="M62" s="111" t="s">
        <v>50</v>
      </c>
      <c r="N62" s="158" t="s">
        <v>88</v>
      </c>
      <c r="O62" s="61">
        <v>100</v>
      </c>
      <c r="P62" s="24">
        <v>0</v>
      </c>
    </row>
    <row r="63" spans="1:20" ht="14.25" customHeight="1">
      <c r="A63" s="18" t="s">
        <v>94</v>
      </c>
      <c r="B63" s="17" t="s">
        <v>89</v>
      </c>
      <c r="C63" s="61" t="s">
        <v>152</v>
      </c>
      <c r="D63" s="109">
        <v>-46.331370849190684</v>
      </c>
      <c r="E63" s="109">
        <v>-23.933737500000003</v>
      </c>
      <c r="F63" s="18">
        <v>2010</v>
      </c>
      <c r="G63" s="19" t="s">
        <v>90</v>
      </c>
      <c r="H63" s="17" t="s">
        <v>188</v>
      </c>
      <c r="I63" s="17" t="s">
        <v>91</v>
      </c>
      <c r="J63" s="18" t="s">
        <v>93</v>
      </c>
      <c r="K63" s="61">
        <v>600</v>
      </c>
      <c r="L63" s="64">
        <v>292</v>
      </c>
      <c r="M63" s="111" t="s">
        <v>50</v>
      </c>
      <c r="N63" s="158" t="s">
        <v>88</v>
      </c>
      <c r="O63" s="61">
        <v>100</v>
      </c>
      <c r="P63" s="24">
        <v>0</v>
      </c>
    </row>
    <row r="64" spans="1:20" ht="14.25" customHeight="1">
      <c r="A64" s="18" t="s">
        <v>94</v>
      </c>
      <c r="B64" s="17" t="s">
        <v>89</v>
      </c>
      <c r="C64" s="61" t="s">
        <v>111</v>
      </c>
      <c r="D64" s="109">
        <v>-47.889237684691636</v>
      </c>
      <c r="E64" s="109">
        <v>-22.015998500000002</v>
      </c>
      <c r="F64" s="18">
        <v>2010</v>
      </c>
      <c r="G64" s="19" t="s">
        <v>90</v>
      </c>
      <c r="H64" s="17" t="s">
        <v>188</v>
      </c>
      <c r="I64" s="17" t="s">
        <v>91</v>
      </c>
      <c r="J64" s="18" t="s">
        <v>93</v>
      </c>
      <c r="K64" s="63">
        <v>600</v>
      </c>
      <c r="L64" s="64">
        <v>292</v>
      </c>
      <c r="M64" s="111" t="s">
        <v>50</v>
      </c>
      <c r="N64" s="158" t="s">
        <v>88</v>
      </c>
      <c r="O64" s="64">
        <v>99.75</v>
      </c>
      <c r="P64" s="24">
        <v>0.5</v>
      </c>
    </row>
    <row r="65" spans="1:18" ht="14.25" customHeight="1">
      <c r="A65" s="18" t="s">
        <v>94</v>
      </c>
      <c r="B65" s="17" t="s">
        <v>89</v>
      </c>
      <c r="C65" s="61" t="s">
        <v>131</v>
      </c>
      <c r="D65" s="109">
        <v>-49.381347685025794</v>
      </c>
      <c r="E65" s="109">
        <v>-20.812636500000004</v>
      </c>
      <c r="F65" s="18">
        <v>2010</v>
      </c>
      <c r="G65" s="19" t="s">
        <v>90</v>
      </c>
      <c r="H65" s="17" t="s">
        <v>188</v>
      </c>
      <c r="I65" s="17" t="s">
        <v>91</v>
      </c>
      <c r="J65" s="18" t="s">
        <v>93</v>
      </c>
      <c r="K65" s="63">
        <v>600</v>
      </c>
      <c r="L65" s="64">
        <v>292</v>
      </c>
      <c r="M65" s="111" t="s">
        <v>50</v>
      </c>
      <c r="N65" s="158" t="s">
        <v>88</v>
      </c>
      <c r="O65" s="64">
        <v>99.75</v>
      </c>
      <c r="P65" s="24">
        <v>0.5</v>
      </c>
    </row>
    <row r="66" spans="1:18" ht="14.25" customHeight="1">
      <c r="A66" s="18" t="s">
        <v>94</v>
      </c>
      <c r="B66" s="17" t="s">
        <v>89</v>
      </c>
      <c r="C66" s="61" t="s">
        <v>113</v>
      </c>
      <c r="D66" s="109">
        <v>-45.402680140543957</v>
      </c>
      <c r="E66" s="109">
        <v>-23.806687652148753</v>
      </c>
      <c r="F66" s="18">
        <v>2010</v>
      </c>
      <c r="G66" s="19" t="s">
        <v>90</v>
      </c>
      <c r="H66" s="17" t="s">
        <v>188</v>
      </c>
      <c r="I66" s="17" t="s">
        <v>91</v>
      </c>
      <c r="J66" s="18" t="s">
        <v>93</v>
      </c>
      <c r="K66" s="63">
        <v>750</v>
      </c>
      <c r="L66" s="64">
        <v>292</v>
      </c>
      <c r="M66" s="111" t="s">
        <v>50</v>
      </c>
      <c r="N66" s="158" t="s">
        <v>88</v>
      </c>
      <c r="O66" s="63">
        <v>100</v>
      </c>
      <c r="P66" s="24">
        <v>0</v>
      </c>
    </row>
    <row r="67" spans="1:18" ht="14.25" customHeight="1">
      <c r="A67" s="18" t="s">
        <v>94</v>
      </c>
      <c r="B67" s="17" t="s">
        <v>89</v>
      </c>
      <c r="C67" s="61" t="s">
        <v>119</v>
      </c>
      <c r="D67" s="109">
        <v>-60.023335181061036</v>
      </c>
      <c r="E67" s="109">
        <v>-3.1346914912019459</v>
      </c>
      <c r="F67" s="18">
        <v>2010</v>
      </c>
      <c r="G67" s="19" t="s">
        <v>90</v>
      </c>
      <c r="H67" s="17" t="s">
        <v>188</v>
      </c>
      <c r="I67" s="17" t="s">
        <v>91</v>
      </c>
      <c r="J67" s="18" t="s">
        <v>93</v>
      </c>
      <c r="K67" s="61">
        <v>600</v>
      </c>
      <c r="L67" s="64">
        <v>292</v>
      </c>
      <c r="M67" s="111" t="s">
        <v>50</v>
      </c>
      <c r="N67" s="158" t="s">
        <v>88</v>
      </c>
      <c r="O67" s="61">
        <v>100</v>
      </c>
      <c r="P67" s="24">
        <v>0</v>
      </c>
    </row>
    <row r="68" spans="1:18" ht="14.25" customHeight="1">
      <c r="A68" s="18" t="s">
        <v>94</v>
      </c>
      <c r="B68" s="17" t="s">
        <v>89</v>
      </c>
      <c r="C68" s="61" t="s">
        <v>141</v>
      </c>
      <c r="D68" s="109">
        <v>-47.887905478031342</v>
      </c>
      <c r="E68" s="109">
        <v>-15.794087361891002</v>
      </c>
      <c r="F68" s="18">
        <v>2010</v>
      </c>
      <c r="G68" s="19" t="s">
        <v>90</v>
      </c>
      <c r="H68" s="17" t="s">
        <v>188</v>
      </c>
      <c r="I68" s="17" t="s">
        <v>91</v>
      </c>
      <c r="J68" s="18" t="s">
        <v>93</v>
      </c>
      <c r="K68" s="63">
        <v>450</v>
      </c>
      <c r="L68" s="64">
        <v>292</v>
      </c>
      <c r="M68" s="111" t="s">
        <v>50</v>
      </c>
      <c r="N68" s="158" t="s">
        <v>88</v>
      </c>
      <c r="O68" s="64">
        <v>99</v>
      </c>
      <c r="P68" s="24">
        <v>0.4</v>
      </c>
    </row>
    <row r="69" spans="1:18" ht="14.25" customHeight="1">
      <c r="A69" s="18" t="s">
        <v>94</v>
      </c>
      <c r="B69" s="17" t="s">
        <v>89</v>
      </c>
      <c r="C69" s="61" t="s">
        <v>180</v>
      </c>
      <c r="D69" s="109">
        <v>-40.502460574994096</v>
      </c>
      <c r="E69" s="109">
        <v>-7.578141500000001</v>
      </c>
      <c r="F69" s="18">
        <v>2010</v>
      </c>
      <c r="G69" s="19" t="s">
        <v>90</v>
      </c>
      <c r="H69" s="17" t="s">
        <v>188</v>
      </c>
      <c r="I69" s="17" t="s">
        <v>91</v>
      </c>
      <c r="J69" s="18" t="s">
        <v>93</v>
      </c>
      <c r="K69" s="61">
        <v>750</v>
      </c>
      <c r="L69" s="64">
        <v>292</v>
      </c>
      <c r="M69" s="111" t="s">
        <v>50</v>
      </c>
      <c r="N69" s="158" t="s">
        <v>88</v>
      </c>
      <c r="O69" s="64">
        <v>96.76</v>
      </c>
      <c r="P69" s="24">
        <v>0.6</v>
      </c>
    </row>
    <row r="70" spans="1:18" ht="14.25" customHeight="1">
      <c r="A70" s="18" t="s">
        <v>94</v>
      </c>
      <c r="B70" s="17" t="s">
        <v>89</v>
      </c>
      <c r="C70" s="61" t="s">
        <v>181</v>
      </c>
      <c r="D70" s="109">
        <v>-34.888941944577716</v>
      </c>
      <c r="E70" s="109">
        <v>-8.0627624830524081</v>
      </c>
      <c r="F70" s="18">
        <v>2010</v>
      </c>
      <c r="G70" s="19" t="s">
        <v>90</v>
      </c>
      <c r="H70" s="17" t="s">
        <v>188</v>
      </c>
      <c r="I70" s="17" t="s">
        <v>91</v>
      </c>
      <c r="J70" s="18" t="s">
        <v>93</v>
      </c>
      <c r="K70" s="63">
        <v>750</v>
      </c>
      <c r="L70" s="64">
        <v>292</v>
      </c>
      <c r="M70" s="111" t="s">
        <v>50</v>
      </c>
      <c r="N70" s="158" t="s">
        <v>88</v>
      </c>
      <c r="O70" s="64">
        <v>98.47999999999999</v>
      </c>
      <c r="P70" s="24">
        <v>0.2</v>
      </c>
    </row>
    <row r="71" spans="1:18" ht="14.25" customHeight="1" thickBot="1">
      <c r="A71" s="21" t="s">
        <v>94</v>
      </c>
      <c r="B71" s="21" t="s">
        <v>89</v>
      </c>
      <c r="C71" s="62" t="s">
        <v>182</v>
      </c>
      <c r="D71" s="110">
        <v>-43.020644738325494</v>
      </c>
      <c r="E71" s="110">
        <v>-6.7696724337863605</v>
      </c>
      <c r="F71" s="21">
        <v>2010</v>
      </c>
      <c r="G71" s="22" t="s">
        <v>90</v>
      </c>
      <c r="H71" s="21" t="s">
        <v>188</v>
      </c>
      <c r="I71" s="21" t="s">
        <v>91</v>
      </c>
      <c r="J71" s="21" t="s">
        <v>93</v>
      </c>
      <c r="K71" s="62">
        <v>750</v>
      </c>
      <c r="L71" s="65">
        <v>292</v>
      </c>
      <c r="M71" s="114" t="s">
        <v>50</v>
      </c>
      <c r="N71" s="11" t="s">
        <v>88</v>
      </c>
      <c r="O71" s="65">
        <v>99.58</v>
      </c>
      <c r="P71" s="25">
        <v>0.3</v>
      </c>
    </row>
    <row r="72" spans="1:18" ht="14.25" customHeight="1">
      <c r="A72" s="18" t="s">
        <v>94</v>
      </c>
      <c r="B72" s="17" t="s">
        <v>89</v>
      </c>
      <c r="C72" s="20" t="s">
        <v>124</v>
      </c>
      <c r="D72" s="261"/>
      <c r="E72" s="262"/>
      <c r="F72" s="18">
        <v>2010</v>
      </c>
      <c r="G72" s="19" t="s">
        <v>90</v>
      </c>
      <c r="H72" s="17" t="s">
        <v>188</v>
      </c>
      <c r="I72" s="17" t="s">
        <v>91</v>
      </c>
      <c r="J72" s="18" t="s">
        <v>21</v>
      </c>
      <c r="K72" s="63">
        <v>600</v>
      </c>
      <c r="L72" s="24">
        <v>9</v>
      </c>
      <c r="M72" s="111" t="s">
        <v>50</v>
      </c>
      <c r="N72" s="158" t="s">
        <v>88</v>
      </c>
      <c r="O72" s="18">
        <v>100</v>
      </c>
      <c r="P72" s="24">
        <v>0</v>
      </c>
    </row>
    <row r="73" spans="1:18" ht="14.25" customHeight="1">
      <c r="A73" s="18" t="s">
        <v>94</v>
      </c>
      <c r="B73" s="17" t="s">
        <v>89</v>
      </c>
      <c r="C73" s="61" t="s">
        <v>100</v>
      </c>
      <c r="D73" s="109">
        <v>-50.439226072752582</v>
      </c>
      <c r="E73" s="109">
        <v>-21.205476000000004</v>
      </c>
      <c r="F73" s="18">
        <v>2010</v>
      </c>
      <c r="G73" s="19" t="s">
        <v>90</v>
      </c>
      <c r="H73" s="17" t="s">
        <v>188</v>
      </c>
      <c r="I73" s="17" t="s">
        <v>91</v>
      </c>
      <c r="J73" s="18" t="s">
        <v>21</v>
      </c>
      <c r="K73" s="278">
        <v>750</v>
      </c>
      <c r="L73" s="24">
        <v>18</v>
      </c>
      <c r="M73" s="111" t="s">
        <v>50</v>
      </c>
      <c r="N73" s="158" t="s">
        <v>88</v>
      </c>
      <c r="O73" s="273">
        <v>42.500000000000007</v>
      </c>
      <c r="P73" s="10">
        <v>22.529758099012053</v>
      </c>
    </row>
    <row r="74" spans="1:18" ht="14.25" customHeight="1">
      <c r="A74" s="18" t="s">
        <v>94</v>
      </c>
      <c r="B74" s="17" t="s">
        <v>89</v>
      </c>
      <c r="C74" s="61" t="s">
        <v>101</v>
      </c>
      <c r="D74" s="109">
        <v>-48.567377839455055</v>
      </c>
      <c r="E74" s="109">
        <v>-20.558455515000002</v>
      </c>
      <c r="F74" s="18">
        <v>2010</v>
      </c>
      <c r="G74" s="19" t="s">
        <v>90</v>
      </c>
      <c r="H74" s="17" t="s">
        <v>188</v>
      </c>
      <c r="I74" s="17" t="s">
        <v>91</v>
      </c>
      <c r="J74" s="18" t="s">
        <v>21</v>
      </c>
      <c r="K74" s="63">
        <v>600</v>
      </c>
      <c r="L74" s="24">
        <v>18</v>
      </c>
      <c r="M74" s="111" t="s">
        <v>50</v>
      </c>
      <c r="N74" s="158" t="s">
        <v>88</v>
      </c>
      <c r="O74" s="24">
        <v>69.599999999999994</v>
      </c>
      <c r="P74" s="10">
        <v>27.183205599536386</v>
      </c>
    </row>
    <row r="75" spans="1:18" ht="14.25" customHeight="1">
      <c r="A75" s="18" t="s">
        <v>94</v>
      </c>
      <c r="B75" s="17" t="s">
        <v>89</v>
      </c>
      <c r="C75" s="61" t="s">
        <v>102</v>
      </c>
      <c r="D75" s="109">
        <v>-49.083000867090362</v>
      </c>
      <c r="E75" s="109">
        <v>-22.325122500000006</v>
      </c>
      <c r="F75" s="18">
        <v>2010</v>
      </c>
      <c r="G75" s="19" t="s">
        <v>90</v>
      </c>
      <c r="H75" s="17" t="s">
        <v>188</v>
      </c>
      <c r="I75" s="17" t="s">
        <v>91</v>
      </c>
      <c r="J75" s="18" t="s">
        <v>21</v>
      </c>
      <c r="K75" s="63">
        <v>750</v>
      </c>
      <c r="L75" s="24">
        <v>18</v>
      </c>
      <c r="M75" s="111" t="s">
        <v>50</v>
      </c>
      <c r="N75" s="158" t="s">
        <v>88</v>
      </c>
      <c r="O75" s="24">
        <v>78.239999999999995</v>
      </c>
      <c r="P75" s="10">
        <v>14.722703556072869</v>
      </c>
    </row>
    <row r="76" spans="1:18" ht="14.25" customHeight="1">
      <c r="A76" s="18" t="s">
        <v>94</v>
      </c>
      <c r="B76" s="17" t="s">
        <v>89</v>
      </c>
      <c r="C76" s="61" t="s">
        <v>103</v>
      </c>
      <c r="D76" s="109">
        <v>-48.441289384350434</v>
      </c>
      <c r="E76" s="109">
        <v>-22.888381500000008</v>
      </c>
      <c r="F76" s="18">
        <v>2010</v>
      </c>
      <c r="G76" s="19" t="s">
        <v>90</v>
      </c>
      <c r="H76" s="17" t="s">
        <v>188</v>
      </c>
      <c r="I76" s="17" t="s">
        <v>91</v>
      </c>
      <c r="J76" s="18" t="s">
        <v>21</v>
      </c>
      <c r="K76" s="63">
        <v>900</v>
      </c>
      <c r="L76" s="24">
        <v>18</v>
      </c>
      <c r="M76" s="111" t="s">
        <v>50</v>
      </c>
      <c r="N76" s="158" t="s">
        <v>88</v>
      </c>
      <c r="O76" s="28">
        <v>78.916666666666671</v>
      </c>
      <c r="P76" s="10">
        <v>15.934041127933227</v>
      </c>
      <c r="Q76" s="17"/>
      <c r="R76" s="17"/>
    </row>
    <row r="77" spans="1:18" ht="14.25" customHeight="1">
      <c r="A77" s="18" t="s">
        <v>94</v>
      </c>
      <c r="B77" s="17" t="s">
        <v>89</v>
      </c>
      <c r="C77" s="61" t="s">
        <v>134</v>
      </c>
      <c r="D77" s="109">
        <v>-47.299749835960981</v>
      </c>
      <c r="E77" s="109">
        <v>-23.265442500000002</v>
      </c>
      <c r="F77" s="18">
        <v>2010</v>
      </c>
      <c r="G77" s="19" t="s">
        <v>90</v>
      </c>
      <c r="H77" s="17" t="s">
        <v>188</v>
      </c>
      <c r="I77" s="17" t="s">
        <v>91</v>
      </c>
      <c r="J77" s="18" t="s">
        <v>21</v>
      </c>
      <c r="K77" s="63">
        <v>600</v>
      </c>
      <c r="L77" s="24">
        <v>18</v>
      </c>
      <c r="M77" s="111" t="s">
        <v>50</v>
      </c>
      <c r="N77" s="158" t="s">
        <v>88</v>
      </c>
      <c r="O77" s="28">
        <v>68.674999999999997</v>
      </c>
      <c r="P77" s="10">
        <v>24.26278013748631</v>
      </c>
      <c r="Q77" s="17"/>
      <c r="R77" s="17"/>
    </row>
    <row r="78" spans="1:18" ht="14.25" customHeight="1">
      <c r="A78" s="18" t="s">
        <v>94</v>
      </c>
      <c r="B78" s="17" t="s">
        <v>89</v>
      </c>
      <c r="C78" s="61" t="s">
        <v>107</v>
      </c>
      <c r="D78" s="109">
        <v>-49.951645643103269</v>
      </c>
      <c r="E78" s="109">
        <v>-22.214933000000002</v>
      </c>
      <c r="F78" s="18">
        <v>2010</v>
      </c>
      <c r="G78" s="19" t="s">
        <v>90</v>
      </c>
      <c r="H78" s="17" t="s">
        <v>188</v>
      </c>
      <c r="I78" s="17" t="s">
        <v>91</v>
      </c>
      <c r="J78" s="18" t="s">
        <v>21</v>
      </c>
      <c r="K78" s="63">
        <v>600</v>
      </c>
      <c r="L78" s="24">
        <v>18</v>
      </c>
      <c r="M78" s="111" t="s">
        <v>50</v>
      </c>
      <c r="N78" s="158" t="s">
        <v>88</v>
      </c>
      <c r="O78" s="28">
        <v>84.275000000000006</v>
      </c>
      <c r="P78" s="10">
        <v>84.3</v>
      </c>
      <c r="Q78" s="17"/>
      <c r="R78" s="17"/>
    </row>
    <row r="79" spans="1:18" ht="14.25" customHeight="1">
      <c r="A79" s="18" t="s">
        <v>94</v>
      </c>
      <c r="B79" s="17" t="s">
        <v>89</v>
      </c>
      <c r="C79" s="61" t="s">
        <v>95</v>
      </c>
      <c r="D79" s="109">
        <v>-46.570383182112749</v>
      </c>
      <c r="E79" s="109">
        <v>-23.567386500000001</v>
      </c>
      <c r="F79" s="18">
        <v>2010</v>
      </c>
      <c r="G79" s="19" t="s">
        <v>90</v>
      </c>
      <c r="H79" s="17" t="s">
        <v>188</v>
      </c>
      <c r="I79" s="17" t="s">
        <v>91</v>
      </c>
      <c r="J79" s="18" t="s">
        <v>21</v>
      </c>
      <c r="K79" s="61">
        <v>600</v>
      </c>
      <c r="L79" s="24">
        <v>18</v>
      </c>
      <c r="M79" s="111" t="s">
        <v>50</v>
      </c>
      <c r="N79" s="158" t="s">
        <v>88</v>
      </c>
      <c r="O79" s="28">
        <v>65</v>
      </c>
      <c r="P79" s="10">
        <v>5.0885492366030336</v>
      </c>
      <c r="Q79" s="17"/>
      <c r="R79" s="17"/>
    </row>
    <row r="80" spans="1:18" ht="14.25" customHeight="1">
      <c r="A80" s="18" t="s">
        <v>94</v>
      </c>
      <c r="B80" s="17" t="s">
        <v>89</v>
      </c>
      <c r="C80" s="61" t="s">
        <v>108</v>
      </c>
      <c r="D80" s="109">
        <v>-51.386765581912492</v>
      </c>
      <c r="E80" s="109">
        <v>-22.122743500000002</v>
      </c>
      <c r="F80" s="18">
        <v>2010</v>
      </c>
      <c r="G80" s="19" t="s">
        <v>90</v>
      </c>
      <c r="H80" s="17" t="s">
        <v>188</v>
      </c>
      <c r="I80" s="17" t="s">
        <v>91</v>
      </c>
      <c r="J80" s="18" t="s">
        <v>21</v>
      </c>
      <c r="K80" s="278">
        <v>750</v>
      </c>
      <c r="L80" s="24">
        <v>18</v>
      </c>
      <c r="M80" s="111" t="s">
        <v>50</v>
      </c>
      <c r="N80" s="158" t="s">
        <v>88</v>
      </c>
      <c r="O80" s="274">
        <v>59.42</v>
      </c>
      <c r="P80" s="10">
        <v>9.3146121765749754</v>
      </c>
      <c r="Q80" s="17"/>
      <c r="R80" s="17"/>
    </row>
    <row r="81" spans="1:18" ht="14.25" customHeight="1">
      <c r="A81" s="18" t="s">
        <v>94</v>
      </c>
      <c r="B81" s="17" t="s">
        <v>89</v>
      </c>
      <c r="C81" s="61" t="s">
        <v>109</v>
      </c>
      <c r="D81" s="109">
        <v>-47.805475915541528</v>
      </c>
      <c r="E81" s="109">
        <v>-21.184834500000004</v>
      </c>
      <c r="F81" s="18">
        <v>2010</v>
      </c>
      <c r="G81" s="19" t="s">
        <v>90</v>
      </c>
      <c r="H81" s="17" t="s">
        <v>188</v>
      </c>
      <c r="I81" s="17" t="s">
        <v>91</v>
      </c>
      <c r="J81" s="18" t="s">
        <v>21</v>
      </c>
      <c r="K81" s="278">
        <v>600</v>
      </c>
      <c r="L81" s="24">
        <v>18</v>
      </c>
      <c r="M81" s="111" t="s">
        <v>50</v>
      </c>
      <c r="N81" s="158" t="s">
        <v>88</v>
      </c>
      <c r="O81" s="274">
        <v>55.099999999999994</v>
      </c>
      <c r="P81" s="10">
        <v>17.825262971412275</v>
      </c>
      <c r="Q81" s="17"/>
      <c r="R81" s="17"/>
    </row>
    <row r="82" spans="1:18" ht="14.25" customHeight="1">
      <c r="A82" s="18" t="s">
        <v>94</v>
      </c>
      <c r="B82" s="17" t="s">
        <v>89</v>
      </c>
      <c r="C82" s="61" t="s">
        <v>127</v>
      </c>
      <c r="D82" s="109">
        <v>-46.922092505649722</v>
      </c>
      <c r="E82" s="109">
        <v>-23.449453000000005</v>
      </c>
      <c r="F82" s="18">
        <v>2010</v>
      </c>
      <c r="G82" s="19" t="s">
        <v>90</v>
      </c>
      <c r="H82" s="17" t="s">
        <v>188</v>
      </c>
      <c r="I82" s="17" t="s">
        <v>91</v>
      </c>
      <c r="J82" s="18" t="s">
        <v>21</v>
      </c>
      <c r="K82" s="61">
        <v>900</v>
      </c>
      <c r="L82" s="24">
        <v>18</v>
      </c>
      <c r="M82" s="111" t="s">
        <v>50</v>
      </c>
      <c r="N82" s="158" t="s">
        <v>88</v>
      </c>
      <c r="O82" s="28">
        <v>70.233333333333334</v>
      </c>
      <c r="P82" s="10">
        <v>19.367877185346497</v>
      </c>
      <c r="Q82" s="17"/>
      <c r="R82" s="17"/>
    </row>
    <row r="83" spans="1:18" ht="14.25" customHeight="1">
      <c r="A83" s="18" t="s">
        <v>94</v>
      </c>
      <c r="B83" s="17" t="s">
        <v>89</v>
      </c>
      <c r="C83" s="61" t="s">
        <v>152</v>
      </c>
      <c r="D83" s="109">
        <v>-46.331370849190684</v>
      </c>
      <c r="E83" s="109">
        <v>-23.933737500000003</v>
      </c>
      <c r="F83" s="18">
        <v>2010</v>
      </c>
      <c r="G83" s="19" t="s">
        <v>90</v>
      </c>
      <c r="H83" s="17" t="s">
        <v>188</v>
      </c>
      <c r="I83" s="17" t="s">
        <v>91</v>
      </c>
      <c r="J83" s="18" t="s">
        <v>21</v>
      </c>
      <c r="K83" s="278">
        <v>600</v>
      </c>
      <c r="L83" s="24">
        <v>18</v>
      </c>
      <c r="M83" s="111" t="s">
        <v>50</v>
      </c>
      <c r="N83" s="158" t="s">
        <v>88</v>
      </c>
      <c r="O83" s="274">
        <v>50.475000000000001</v>
      </c>
      <c r="P83" s="10">
        <v>13.365970472310147</v>
      </c>
      <c r="Q83" s="17"/>
      <c r="R83" s="17"/>
    </row>
    <row r="84" spans="1:18" ht="14.25" customHeight="1">
      <c r="A84" s="18" t="s">
        <v>94</v>
      </c>
      <c r="B84" s="17" t="s">
        <v>89</v>
      </c>
      <c r="C84" s="61" t="s">
        <v>111</v>
      </c>
      <c r="D84" s="109">
        <v>-47.889237684691636</v>
      </c>
      <c r="E84" s="109">
        <v>-22.015998500000002</v>
      </c>
      <c r="F84" s="18">
        <v>2010</v>
      </c>
      <c r="G84" s="19" t="s">
        <v>90</v>
      </c>
      <c r="H84" s="17" t="s">
        <v>188</v>
      </c>
      <c r="I84" s="17" t="s">
        <v>91</v>
      </c>
      <c r="J84" s="18" t="s">
        <v>21</v>
      </c>
      <c r="K84" s="63">
        <v>750</v>
      </c>
      <c r="L84" s="24">
        <v>18</v>
      </c>
      <c r="M84" s="111" t="s">
        <v>50</v>
      </c>
      <c r="N84" s="158" t="s">
        <v>88</v>
      </c>
      <c r="O84" s="28">
        <v>77.78</v>
      </c>
      <c r="P84" s="10">
        <v>6.1928991595213292</v>
      </c>
      <c r="Q84" s="17"/>
      <c r="R84" s="17"/>
    </row>
    <row r="85" spans="1:18" ht="14.25" customHeight="1">
      <c r="A85" s="18" t="s">
        <v>94</v>
      </c>
      <c r="B85" s="17" t="s">
        <v>89</v>
      </c>
      <c r="C85" s="61" t="s">
        <v>131</v>
      </c>
      <c r="D85" s="109">
        <v>-49.381347685025794</v>
      </c>
      <c r="E85" s="109">
        <v>-20.812636500000004</v>
      </c>
      <c r="F85" s="18">
        <v>2010</v>
      </c>
      <c r="G85" s="19" t="s">
        <v>90</v>
      </c>
      <c r="H85" s="17" t="s">
        <v>188</v>
      </c>
      <c r="I85" s="17" t="s">
        <v>91</v>
      </c>
      <c r="J85" s="18" t="s">
        <v>21</v>
      </c>
      <c r="K85" s="278">
        <v>600</v>
      </c>
      <c r="L85" s="24">
        <v>18</v>
      </c>
      <c r="M85" s="111" t="s">
        <v>50</v>
      </c>
      <c r="N85" s="158" t="s">
        <v>88</v>
      </c>
      <c r="O85" s="274">
        <v>58.775000000000006</v>
      </c>
      <c r="P85" s="10">
        <v>20.947613229196282</v>
      </c>
      <c r="Q85" s="17"/>
      <c r="R85" s="17"/>
    </row>
    <row r="86" spans="1:18" ht="14.25" customHeight="1">
      <c r="A86" s="18" t="s">
        <v>94</v>
      </c>
      <c r="B86" s="17" t="s">
        <v>89</v>
      </c>
      <c r="C86" s="61" t="s">
        <v>113</v>
      </c>
      <c r="D86" s="109">
        <v>-45.402680140543957</v>
      </c>
      <c r="E86" s="109">
        <v>-23.806687652148753</v>
      </c>
      <c r="F86" s="18">
        <v>2010</v>
      </c>
      <c r="G86" s="19" t="s">
        <v>90</v>
      </c>
      <c r="H86" s="17" t="s">
        <v>188</v>
      </c>
      <c r="I86" s="17" t="s">
        <v>91</v>
      </c>
      <c r="J86" s="18" t="s">
        <v>21</v>
      </c>
      <c r="K86" s="63">
        <v>750</v>
      </c>
      <c r="L86" s="24">
        <v>18</v>
      </c>
      <c r="M86" s="111" t="s">
        <v>50</v>
      </c>
      <c r="N86" s="158" t="s">
        <v>88</v>
      </c>
      <c r="O86" s="28">
        <v>54.879999999999995</v>
      </c>
      <c r="P86" s="10">
        <v>13.872887226529334</v>
      </c>
      <c r="Q86" s="17"/>
      <c r="R86" s="17"/>
    </row>
    <row r="87" spans="1:18" ht="14.25" customHeight="1">
      <c r="A87" s="18" t="s">
        <v>94</v>
      </c>
      <c r="B87" s="17" t="s">
        <v>89</v>
      </c>
      <c r="C87" s="61" t="s">
        <v>119</v>
      </c>
      <c r="D87" s="109">
        <v>-60.023335181061036</v>
      </c>
      <c r="E87" s="109">
        <v>-3.1346914912019459</v>
      </c>
      <c r="F87" s="18">
        <v>2010</v>
      </c>
      <c r="G87" s="19" t="s">
        <v>90</v>
      </c>
      <c r="H87" s="17" t="s">
        <v>188</v>
      </c>
      <c r="I87" s="17" t="s">
        <v>91</v>
      </c>
      <c r="J87" s="18" t="s">
        <v>21</v>
      </c>
      <c r="K87" s="63">
        <v>750</v>
      </c>
      <c r="L87" s="24">
        <v>18</v>
      </c>
      <c r="M87" s="111" t="s">
        <v>50</v>
      </c>
      <c r="N87" s="158" t="s">
        <v>88</v>
      </c>
      <c r="O87" s="24">
        <v>85.38000000000001</v>
      </c>
      <c r="P87" s="31">
        <v>8</v>
      </c>
    </row>
    <row r="88" spans="1:18" ht="14.25" customHeight="1">
      <c r="A88" s="18" t="s">
        <v>94</v>
      </c>
      <c r="B88" s="17" t="s">
        <v>89</v>
      </c>
      <c r="C88" s="61" t="s">
        <v>141</v>
      </c>
      <c r="D88" s="109">
        <v>-47.887905478031342</v>
      </c>
      <c r="E88" s="109">
        <v>-15.794087361891002</v>
      </c>
      <c r="F88" s="18">
        <v>2010</v>
      </c>
      <c r="G88" s="19" t="s">
        <v>90</v>
      </c>
      <c r="H88" s="17" t="s">
        <v>188</v>
      </c>
      <c r="I88" s="17" t="s">
        <v>91</v>
      </c>
      <c r="J88" s="18" t="s">
        <v>21</v>
      </c>
      <c r="K88" s="63">
        <v>600</v>
      </c>
      <c r="L88" s="24">
        <v>18</v>
      </c>
      <c r="M88" s="111" t="s">
        <v>50</v>
      </c>
      <c r="N88" s="158" t="s">
        <v>88</v>
      </c>
      <c r="O88" s="24">
        <v>26.625</v>
      </c>
      <c r="P88" s="31">
        <v>11.9</v>
      </c>
    </row>
    <row r="89" spans="1:18" ht="14.25" customHeight="1">
      <c r="A89" s="18" t="s">
        <v>94</v>
      </c>
      <c r="B89" s="17" t="s">
        <v>89</v>
      </c>
      <c r="C89" s="61" t="s">
        <v>180</v>
      </c>
      <c r="D89" s="109">
        <v>-40.502460574994096</v>
      </c>
      <c r="E89" s="109">
        <v>-7.578141500000001</v>
      </c>
      <c r="F89" s="18">
        <v>2010</v>
      </c>
      <c r="G89" s="19" t="s">
        <v>90</v>
      </c>
      <c r="H89" s="17" t="s">
        <v>188</v>
      </c>
      <c r="I89" s="17" t="s">
        <v>91</v>
      </c>
      <c r="J89" s="18" t="s">
        <v>21</v>
      </c>
      <c r="K89" s="61">
        <v>600</v>
      </c>
      <c r="L89" s="24">
        <v>18</v>
      </c>
      <c r="M89" s="111" t="s">
        <v>50</v>
      </c>
      <c r="N89" s="158" t="s">
        <v>88</v>
      </c>
      <c r="O89" s="24">
        <v>90.95</v>
      </c>
      <c r="P89" s="31">
        <v>2.2999999999999998</v>
      </c>
    </row>
    <row r="90" spans="1:18" ht="14.25" customHeight="1">
      <c r="A90" s="18" t="s">
        <v>94</v>
      </c>
      <c r="B90" s="17" t="s">
        <v>89</v>
      </c>
      <c r="C90" s="61" t="s">
        <v>181</v>
      </c>
      <c r="D90" s="109">
        <v>-34.888941944577716</v>
      </c>
      <c r="E90" s="109">
        <v>-8.0627624830524081</v>
      </c>
      <c r="F90" s="18">
        <v>2010</v>
      </c>
      <c r="G90" s="19" t="s">
        <v>90</v>
      </c>
      <c r="H90" s="17" t="s">
        <v>188</v>
      </c>
      <c r="I90" s="17" t="s">
        <v>91</v>
      </c>
      <c r="J90" s="18" t="s">
        <v>21</v>
      </c>
      <c r="K90" s="61">
        <v>600</v>
      </c>
      <c r="L90" s="24">
        <v>18</v>
      </c>
      <c r="M90" s="111" t="s">
        <v>50</v>
      </c>
      <c r="N90" s="158" t="s">
        <v>88</v>
      </c>
      <c r="O90" s="24">
        <v>73.674999999999997</v>
      </c>
      <c r="P90" s="31">
        <v>25.1</v>
      </c>
    </row>
    <row r="91" spans="1:18" ht="14.25" customHeight="1" thickBot="1">
      <c r="A91" s="21" t="s">
        <v>94</v>
      </c>
      <c r="B91" s="21" t="s">
        <v>89</v>
      </c>
      <c r="C91" s="62" t="s">
        <v>182</v>
      </c>
      <c r="D91" s="110">
        <v>-43.020644738325494</v>
      </c>
      <c r="E91" s="110">
        <v>-6.7696724337863605</v>
      </c>
      <c r="F91" s="21">
        <v>2010</v>
      </c>
      <c r="G91" s="22" t="s">
        <v>90</v>
      </c>
      <c r="H91" s="21" t="s">
        <v>188</v>
      </c>
      <c r="I91" s="21" t="s">
        <v>91</v>
      </c>
      <c r="J91" s="21" t="s">
        <v>21</v>
      </c>
      <c r="K91" s="62">
        <v>600</v>
      </c>
      <c r="L91" s="25">
        <v>18</v>
      </c>
      <c r="M91" s="114" t="s">
        <v>50</v>
      </c>
      <c r="N91" s="11" t="s">
        <v>88</v>
      </c>
      <c r="O91" s="25">
        <v>93.325000000000003</v>
      </c>
      <c r="P91" s="30">
        <v>12</v>
      </c>
    </row>
    <row r="93" spans="1:18" ht="14.25" customHeight="1">
      <c r="C93" s="2"/>
      <c r="D93" s="2"/>
      <c r="E93" s="2"/>
    </row>
    <row r="94" spans="1:18" ht="14.25" customHeight="1">
      <c r="C94" s="2"/>
      <c r="D94" s="2"/>
      <c r="E94" s="2"/>
    </row>
    <row r="95" spans="1:18" ht="14.25" customHeight="1">
      <c r="C95" s="2"/>
      <c r="D95" s="2"/>
      <c r="E95" s="2"/>
    </row>
    <row r="96" spans="1:18" ht="14.25" customHeight="1">
      <c r="C96" s="2"/>
      <c r="D96" s="2"/>
      <c r="E96" s="2"/>
    </row>
    <row r="97" spans="3:5" ht="14.25" customHeight="1">
      <c r="C97" s="2"/>
      <c r="D97" s="2"/>
      <c r="E97" s="2"/>
    </row>
    <row r="98" spans="3:5" ht="14.25" customHeight="1">
      <c r="C98" s="2"/>
      <c r="D98" s="2"/>
      <c r="E98" s="2"/>
    </row>
    <row r="99" spans="3:5" ht="14.25" customHeight="1">
      <c r="C99" s="2"/>
      <c r="D99" s="2"/>
      <c r="E99" s="2"/>
    </row>
    <row r="100" spans="3:5" ht="14.25" customHeight="1">
      <c r="C100" s="2"/>
      <c r="D100" s="2"/>
      <c r="E100" s="2"/>
    </row>
    <row r="101" spans="3:5" ht="14.25" customHeight="1">
      <c r="C101" s="2"/>
      <c r="D101" s="2"/>
      <c r="E101" s="2"/>
    </row>
    <row r="102" spans="3:5" ht="14.25" customHeight="1">
      <c r="C102" s="2"/>
      <c r="D102" s="2"/>
      <c r="E102" s="2"/>
    </row>
    <row r="103" spans="3:5" ht="14.25" customHeight="1">
      <c r="C103" s="2"/>
      <c r="D103" s="2"/>
      <c r="E103" s="2"/>
    </row>
    <row r="104" spans="3:5" ht="14.25" customHeight="1">
      <c r="C104" s="2"/>
      <c r="D104" s="2"/>
      <c r="E104" s="2"/>
    </row>
    <row r="105" spans="3:5" ht="14.25" customHeight="1">
      <c r="C105" s="2"/>
      <c r="D105" s="2"/>
      <c r="E105" s="2"/>
    </row>
    <row r="106" spans="3:5" ht="14.25" customHeight="1">
      <c r="C106" s="2"/>
      <c r="D106" s="2"/>
      <c r="E106" s="2"/>
    </row>
    <row r="107" spans="3:5" ht="14.25" customHeight="1">
      <c r="C107" s="2"/>
      <c r="D107" s="2"/>
      <c r="E107" s="2"/>
    </row>
    <row r="108" spans="3:5" ht="14.25" customHeight="1">
      <c r="C108" s="2"/>
      <c r="D108" s="2"/>
      <c r="E108" s="2"/>
    </row>
    <row r="109" spans="3:5" ht="14.25" customHeight="1">
      <c r="C109" s="2"/>
      <c r="D109" s="2"/>
      <c r="E109" s="2"/>
    </row>
    <row r="110" spans="3:5" ht="14.25" customHeight="1">
      <c r="C110" s="2"/>
      <c r="D110" s="2"/>
      <c r="E110" s="2"/>
    </row>
    <row r="111" spans="3:5" ht="14.25" customHeight="1">
      <c r="C111" s="2"/>
    </row>
    <row r="112" spans="3:5" ht="14.25" customHeight="1">
      <c r="C112" s="2"/>
    </row>
    <row r="113" spans="3:3" ht="14.25" customHeight="1">
      <c r="C113" s="2"/>
    </row>
    <row r="114" spans="3:3" ht="14.25" customHeight="1">
      <c r="C114" s="2"/>
    </row>
  </sheetData>
  <phoneticPr fontId="48" type="noConversion"/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X299"/>
  <sheetViews>
    <sheetView topLeftCell="D91" workbookViewId="0">
      <selection activeCell="K96" sqref="K96"/>
    </sheetView>
  </sheetViews>
  <sheetFormatPr baseColWidth="10" defaultColWidth="8.83203125" defaultRowHeight="17" customHeight="1"/>
  <cols>
    <col min="1" max="1" width="21" style="160" bestFit="1" customWidth="1"/>
    <col min="2" max="2" width="9.33203125" style="160" bestFit="1" customWidth="1"/>
    <col min="3" max="3" width="22.6640625" style="160" bestFit="1" customWidth="1"/>
    <col min="4" max="4" width="17" style="160" bestFit="1" customWidth="1"/>
    <col min="5" max="5" width="18.83203125" style="160" bestFit="1" customWidth="1"/>
    <col min="6" max="6" width="16.6640625" style="160" bestFit="1" customWidth="1"/>
    <col min="7" max="7" width="16.33203125" style="160" bestFit="1" customWidth="1"/>
    <col min="8" max="8" width="20.6640625" style="160" bestFit="1" customWidth="1"/>
    <col min="9" max="9" width="23.1640625" style="160" bestFit="1" customWidth="1"/>
    <col min="10" max="10" width="13.83203125" style="160" bestFit="1" customWidth="1"/>
    <col min="11" max="11" width="17.6640625" style="160" bestFit="1" customWidth="1"/>
    <col min="12" max="12" width="15.6640625" style="160" bestFit="1" customWidth="1"/>
    <col min="13" max="13" width="11.5" style="160" bestFit="1" customWidth="1"/>
    <col min="14" max="14" width="9.83203125" style="160" bestFit="1" customWidth="1"/>
    <col min="15" max="15" width="19.33203125" style="160" bestFit="1" customWidth="1"/>
    <col min="16" max="16" width="19.1640625" style="160" bestFit="1" customWidth="1"/>
    <col min="17" max="19" width="10.33203125" style="160" bestFit="1" customWidth="1"/>
    <col min="20" max="24" width="8.83203125" style="14"/>
    <col min="25" max="16384" width="8.83203125" style="16"/>
  </cols>
  <sheetData>
    <row r="1" spans="1:24" ht="17" customHeight="1" thickBot="1">
      <c r="A1" s="215" t="s">
        <v>69</v>
      </c>
      <c r="B1" s="215" t="s">
        <v>70</v>
      </c>
      <c r="C1" s="215" t="s">
        <v>71</v>
      </c>
      <c r="D1" s="215" t="s">
        <v>190</v>
      </c>
      <c r="E1" s="215" t="s">
        <v>24</v>
      </c>
      <c r="F1" s="215" t="s">
        <v>72</v>
      </c>
      <c r="G1" s="215" t="s">
        <v>73</v>
      </c>
      <c r="H1" s="215" t="s">
        <v>74</v>
      </c>
      <c r="I1" s="215" t="s">
        <v>75</v>
      </c>
      <c r="J1" s="215" t="s">
        <v>76</v>
      </c>
      <c r="K1" s="215" t="s">
        <v>77</v>
      </c>
      <c r="L1" s="215" t="s">
        <v>78</v>
      </c>
      <c r="M1" s="215" t="s">
        <v>79</v>
      </c>
      <c r="N1" s="215" t="s">
        <v>82</v>
      </c>
      <c r="O1" s="215" t="s">
        <v>83</v>
      </c>
      <c r="P1" s="215" t="s">
        <v>84</v>
      </c>
      <c r="Q1" s="215" t="s">
        <v>85</v>
      </c>
      <c r="R1" s="215" t="s">
        <v>86</v>
      </c>
      <c r="S1" s="215" t="s">
        <v>87</v>
      </c>
      <c r="U1" s="16"/>
      <c r="V1" s="16"/>
      <c r="W1" s="16"/>
      <c r="X1" s="16"/>
    </row>
    <row r="2" spans="1:24" ht="17" customHeight="1">
      <c r="A2" s="160" t="s">
        <v>94</v>
      </c>
      <c r="B2" s="160" t="s">
        <v>89</v>
      </c>
      <c r="C2" s="219" t="s">
        <v>124</v>
      </c>
      <c r="D2" s="261"/>
      <c r="E2" s="262"/>
      <c r="F2" s="160">
        <v>2011</v>
      </c>
      <c r="G2" s="160" t="s">
        <v>90</v>
      </c>
      <c r="H2" s="160" t="s">
        <v>177</v>
      </c>
      <c r="I2" s="160" t="s">
        <v>91</v>
      </c>
      <c r="J2" s="160" t="s">
        <v>81</v>
      </c>
      <c r="K2" s="160">
        <v>1200</v>
      </c>
      <c r="L2" s="160">
        <v>1.2E-2</v>
      </c>
      <c r="M2" s="160" t="s">
        <v>80</v>
      </c>
      <c r="N2" s="160" t="s">
        <v>88</v>
      </c>
      <c r="O2" s="160">
        <v>100</v>
      </c>
      <c r="P2" s="222">
        <v>1.0000000000000026E-4</v>
      </c>
      <c r="Q2" s="222">
        <v>4.1000000000000003E-3</v>
      </c>
      <c r="R2" s="222">
        <v>5.1000000000000004E-3</v>
      </c>
      <c r="S2" s="222">
        <v>5.5999999999999999E-3</v>
      </c>
      <c r="U2" s="16"/>
      <c r="V2" s="16"/>
      <c r="W2" s="16"/>
      <c r="X2" s="16"/>
    </row>
    <row r="3" spans="1:24" ht="17" customHeight="1">
      <c r="A3" s="160" t="s">
        <v>94</v>
      </c>
      <c r="B3" s="160" t="s">
        <v>89</v>
      </c>
      <c r="C3" s="160" t="s">
        <v>100</v>
      </c>
      <c r="D3" s="160">
        <v>-50.439226072752582</v>
      </c>
      <c r="E3" s="160">
        <v>-21.205476000000004</v>
      </c>
      <c r="F3" s="160">
        <v>2011</v>
      </c>
      <c r="G3" s="160" t="s">
        <v>90</v>
      </c>
      <c r="H3" s="160" t="s">
        <v>177</v>
      </c>
      <c r="I3" s="160" t="s">
        <v>91</v>
      </c>
      <c r="J3" s="160" t="s">
        <v>81</v>
      </c>
      <c r="K3" s="160">
        <v>1500</v>
      </c>
      <c r="L3" s="160">
        <v>1.2E-2</v>
      </c>
      <c r="M3" s="160" t="s">
        <v>80</v>
      </c>
      <c r="N3" s="160" t="s">
        <v>88</v>
      </c>
      <c r="O3" s="223">
        <v>78.073484563944049</v>
      </c>
      <c r="P3" s="222">
        <v>1.4299999999999972E-3</v>
      </c>
      <c r="Q3" s="222">
        <v>1.3299999999999999E-2</v>
      </c>
      <c r="R3" s="222">
        <v>2.5229999999999999E-2</v>
      </c>
      <c r="S3" s="222">
        <v>3.288E-2</v>
      </c>
      <c r="U3" s="16"/>
      <c r="V3" s="16"/>
      <c r="W3" s="16"/>
      <c r="X3" s="16"/>
    </row>
    <row r="4" spans="1:24" ht="17" customHeight="1">
      <c r="A4" s="160" t="s">
        <v>94</v>
      </c>
      <c r="B4" s="160" t="s">
        <v>89</v>
      </c>
      <c r="C4" s="160" t="s">
        <v>102</v>
      </c>
      <c r="D4" s="160">
        <v>-49.083000867090362</v>
      </c>
      <c r="E4" s="160">
        <v>-22.325122500000006</v>
      </c>
      <c r="F4" s="160">
        <v>2011</v>
      </c>
      <c r="G4" s="160" t="s">
        <v>90</v>
      </c>
      <c r="H4" s="160" t="s">
        <v>177</v>
      </c>
      <c r="I4" s="160" t="s">
        <v>91</v>
      </c>
      <c r="J4" s="160" t="s">
        <v>81</v>
      </c>
      <c r="K4" s="160">
        <v>1500</v>
      </c>
      <c r="L4" s="160">
        <v>1.2E-2</v>
      </c>
      <c r="M4" s="160" t="s">
        <v>80</v>
      </c>
      <c r="N4" s="160" t="s">
        <v>88</v>
      </c>
      <c r="O4" s="223">
        <v>47.951999999999998</v>
      </c>
      <c r="P4" s="222">
        <v>4.0000000000000001E-3</v>
      </c>
      <c r="Q4" s="222">
        <v>1.0999999999999999E-2</v>
      </c>
      <c r="R4" s="222">
        <v>3.3000000000000002E-2</v>
      </c>
      <c r="S4" s="222">
        <v>5.1999999999999998E-2</v>
      </c>
      <c r="U4" s="16"/>
      <c r="V4" s="16"/>
      <c r="W4" s="16"/>
      <c r="X4" s="16"/>
    </row>
    <row r="5" spans="1:24" ht="17" customHeight="1">
      <c r="A5" s="160" t="s">
        <v>94</v>
      </c>
      <c r="B5" s="160" t="s">
        <v>89</v>
      </c>
      <c r="C5" s="160" t="s">
        <v>104</v>
      </c>
      <c r="D5" s="160">
        <v>-47.06015627297316</v>
      </c>
      <c r="E5" s="160">
        <v>-22.907342500000002</v>
      </c>
      <c r="F5" s="160">
        <v>2011</v>
      </c>
      <c r="G5" s="160" t="s">
        <v>90</v>
      </c>
      <c r="H5" s="160" t="s">
        <v>177</v>
      </c>
      <c r="I5" s="160" t="s">
        <v>91</v>
      </c>
      <c r="J5" s="160" t="s">
        <v>81</v>
      </c>
      <c r="K5" s="160">
        <v>1500</v>
      </c>
      <c r="L5" s="160">
        <v>1.2E-2</v>
      </c>
      <c r="M5" s="160" t="s">
        <v>80</v>
      </c>
      <c r="N5" s="160" t="s">
        <v>88</v>
      </c>
      <c r="O5" s="223">
        <v>78.604036293179306</v>
      </c>
      <c r="P5" s="222">
        <v>2.9999999999999992E-3</v>
      </c>
      <c r="Q5" s="222">
        <v>1.2E-2</v>
      </c>
      <c r="R5" s="222">
        <v>2.8000000000000001E-2</v>
      </c>
      <c r="S5" s="222">
        <v>4.1000000000000002E-2</v>
      </c>
      <c r="U5" s="16"/>
      <c r="V5" s="16"/>
      <c r="W5" s="16"/>
      <c r="X5" s="16"/>
    </row>
    <row r="6" spans="1:24" ht="17" customHeight="1">
      <c r="A6" s="160" t="s">
        <v>94</v>
      </c>
      <c r="B6" s="160" t="s">
        <v>89</v>
      </c>
      <c r="C6" s="160" t="s">
        <v>107</v>
      </c>
      <c r="D6" s="160">
        <v>-49.951645643103269</v>
      </c>
      <c r="E6" s="160">
        <v>-22.214933000000002</v>
      </c>
      <c r="F6" s="160">
        <v>2011</v>
      </c>
      <c r="G6" s="160" t="s">
        <v>90</v>
      </c>
      <c r="H6" s="160" t="s">
        <v>177</v>
      </c>
      <c r="I6" s="160" t="s">
        <v>91</v>
      </c>
      <c r="J6" s="160" t="s">
        <v>81</v>
      </c>
      <c r="K6" s="160">
        <v>900</v>
      </c>
      <c r="L6" s="160">
        <v>1.2E-2</v>
      </c>
      <c r="M6" s="160" t="s">
        <v>80</v>
      </c>
      <c r="N6" s="160" t="s">
        <v>88</v>
      </c>
      <c r="O6" s="223">
        <v>83.497434942964361</v>
      </c>
      <c r="P6" s="222">
        <v>2.0000000000000018E-3</v>
      </c>
      <c r="Q6" s="222">
        <v>1.0999999999999999E-2</v>
      </c>
      <c r="R6" s="222">
        <v>2.5000000000000001E-2</v>
      </c>
      <c r="S6" s="222">
        <v>3.5999999999999997E-2</v>
      </c>
      <c r="U6" s="16"/>
      <c r="V6" s="16"/>
      <c r="W6" s="16"/>
      <c r="X6" s="16"/>
    </row>
    <row r="7" spans="1:24" ht="17" customHeight="1">
      <c r="A7" s="160" t="s">
        <v>94</v>
      </c>
      <c r="B7" s="160" t="s">
        <v>89</v>
      </c>
      <c r="C7" s="160" t="s">
        <v>95</v>
      </c>
      <c r="D7" s="160">
        <v>-46.570383182112749</v>
      </c>
      <c r="E7" s="160">
        <v>-23.567386500000001</v>
      </c>
      <c r="F7" s="160">
        <v>2011</v>
      </c>
      <c r="G7" s="160" t="s">
        <v>90</v>
      </c>
      <c r="H7" s="160" t="s">
        <v>177</v>
      </c>
      <c r="I7" s="160" t="s">
        <v>91</v>
      </c>
      <c r="J7" s="160" t="s">
        <v>81</v>
      </c>
      <c r="K7" s="160">
        <v>1500</v>
      </c>
      <c r="L7" s="160">
        <v>1.2E-2</v>
      </c>
      <c r="M7" s="160" t="s">
        <v>80</v>
      </c>
      <c r="N7" s="160" t="s">
        <v>88</v>
      </c>
      <c r="O7" s="223">
        <v>76.5</v>
      </c>
      <c r="P7" s="222">
        <v>2.0000000000000018E-3</v>
      </c>
      <c r="Q7" s="222">
        <v>1.2999999999999999E-2</v>
      </c>
      <c r="R7" s="222">
        <v>2.8000000000000001E-2</v>
      </c>
      <c r="S7" s="222">
        <v>3.9E-2</v>
      </c>
      <c r="U7" s="16"/>
      <c r="V7" s="16"/>
      <c r="W7" s="16"/>
      <c r="X7" s="16"/>
    </row>
    <row r="8" spans="1:24" ht="17" customHeight="1">
      <c r="A8" s="160" t="s">
        <v>94</v>
      </c>
      <c r="B8" s="160" t="s">
        <v>89</v>
      </c>
      <c r="C8" s="160" t="s">
        <v>108</v>
      </c>
      <c r="D8" s="160">
        <v>-51.386765581912492</v>
      </c>
      <c r="E8" s="160">
        <v>-22.122743500000002</v>
      </c>
      <c r="F8" s="160">
        <v>2011</v>
      </c>
      <c r="G8" s="160" t="s">
        <v>90</v>
      </c>
      <c r="H8" s="160" t="s">
        <v>177</v>
      </c>
      <c r="I8" s="160" t="s">
        <v>91</v>
      </c>
      <c r="J8" s="160" t="s">
        <v>81</v>
      </c>
      <c r="K8" s="160">
        <v>1500</v>
      </c>
      <c r="L8" s="160">
        <v>1.2E-2</v>
      </c>
      <c r="M8" s="160" t="s">
        <v>80</v>
      </c>
      <c r="N8" s="160" t="s">
        <v>88</v>
      </c>
      <c r="O8" s="223">
        <v>88.176811680471161</v>
      </c>
      <c r="P8" s="222">
        <v>1.0000000000000009E-3</v>
      </c>
      <c r="Q8" s="222">
        <v>1.2E-2</v>
      </c>
      <c r="R8" s="222">
        <v>2.1000000000000001E-2</v>
      </c>
      <c r="S8" s="222">
        <v>2.5999999999999999E-2</v>
      </c>
      <c r="U8" s="16"/>
      <c r="V8" s="16"/>
      <c r="W8" s="16"/>
      <c r="X8" s="16"/>
    </row>
    <row r="9" spans="1:24" ht="17" customHeight="1">
      <c r="A9" s="160" t="s">
        <v>94</v>
      </c>
      <c r="B9" s="160" t="s">
        <v>89</v>
      </c>
      <c r="C9" s="160" t="s">
        <v>109</v>
      </c>
      <c r="D9" s="160">
        <v>-47.805475915541528</v>
      </c>
      <c r="E9" s="160">
        <v>-21.184834500000004</v>
      </c>
      <c r="F9" s="160">
        <v>2011</v>
      </c>
      <c r="G9" s="160" t="s">
        <v>90</v>
      </c>
      <c r="H9" s="160" t="s">
        <v>177</v>
      </c>
      <c r="I9" s="160" t="s">
        <v>91</v>
      </c>
      <c r="J9" s="160" t="s">
        <v>81</v>
      </c>
      <c r="K9" s="160">
        <v>1200</v>
      </c>
      <c r="L9" s="160">
        <v>1.2E-2</v>
      </c>
      <c r="M9" s="160" t="s">
        <v>80</v>
      </c>
      <c r="N9" s="160" t="s">
        <v>88</v>
      </c>
      <c r="O9" s="223">
        <v>72.95</v>
      </c>
      <c r="P9" s="222">
        <v>1.0000000000000009E-3</v>
      </c>
      <c r="Q9" s="222">
        <v>0.01</v>
      </c>
      <c r="R9" s="222">
        <v>1.7000000000000001E-2</v>
      </c>
      <c r="S9" s="222">
        <v>2.1999999999999999E-2</v>
      </c>
      <c r="U9" s="16"/>
      <c r="V9" s="16"/>
      <c r="W9" s="16"/>
      <c r="X9" s="16"/>
    </row>
    <row r="10" spans="1:24" ht="17" customHeight="1">
      <c r="A10" s="160" t="s">
        <v>94</v>
      </c>
      <c r="B10" s="160" t="s">
        <v>89</v>
      </c>
      <c r="C10" s="160" t="s">
        <v>110</v>
      </c>
      <c r="D10" s="160">
        <v>-46.331370849190684</v>
      </c>
      <c r="E10" s="160">
        <v>-23.933737500000003</v>
      </c>
      <c r="F10" s="160">
        <v>2011</v>
      </c>
      <c r="G10" s="160" t="s">
        <v>90</v>
      </c>
      <c r="H10" s="160" t="s">
        <v>177</v>
      </c>
      <c r="I10" s="160" t="s">
        <v>91</v>
      </c>
      <c r="J10" s="160" t="s">
        <v>81</v>
      </c>
      <c r="K10" s="160">
        <v>1800</v>
      </c>
      <c r="L10" s="160">
        <v>1.2E-2</v>
      </c>
      <c r="M10" s="160" t="s">
        <v>80</v>
      </c>
      <c r="N10" s="160" t="s">
        <v>88</v>
      </c>
      <c r="O10" s="223">
        <v>48.183333333333337</v>
      </c>
      <c r="P10" s="222">
        <v>1.0000000000000009E-3</v>
      </c>
      <c r="Q10" s="222">
        <v>1.2999999999999999E-2</v>
      </c>
      <c r="R10" s="222">
        <v>2.3E-2</v>
      </c>
      <c r="S10" s="222">
        <v>2.9000000000000001E-2</v>
      </c>
      <c r="U10" s="16"/>
      <c r="V10" s="16"/>
      <c r="W10" s="16"/>
      <c r="X10" s="16"/>
    </row>
    <row r="11" spans="1:24" ht="17" customHeight="1">
      <c r="A11" s="160" t="s">
        <v>94</v>
      </c>
      <c r="B11" s="160" t="s">
        <v>89</v>
      </c>
      <c r="C11" s="160" t="s">
        <v>113</v>
      </c>
      <c r="D11" s="160">
        <v>-45.402680140543957</v>
      </c>
      <c r="E11" s="160">
        <v>-23.806687652148753</v>
      </c>
      <c r="F11" s="160">
        <v>2011</v>
      </c>
      <c r="G11" s="160" t="s">
        <v>90</v>
      </c>
      <c r="H11" s="160" t="s">
        <v>177</v>
      </c>
      <c r="I11" s="160" t="s">
        <v>91</v>
      </c>
      <c r="J11" s="160" t="s">
        <v>81</v>
      </c>
      <c r="K11" s="160">
        <v>1200</v>
      </c>
      <c r="L11" s="160">
        <v>1.2E-2</v>
      </c>
      <c r="M11" s="160" t="s">
        <v>80</v>
      </c>
      <c r="N11" s="160" t="s">
        <v>88</v>
      </c>
      <c r="O11" s="223">
        <v>13.975000000000001</v>
      </c>
      <c r="P11" s="222">
        <v>1.0000000000000009E-3</v>
      </c>
      <c r="Q11" s="222">
        <v>1.4999999999999999E-2</v>
      </c>
      <c r="R11" s="222">
        <v>2.1000000000000001E-2</v>
      </c>
      <c r="S11" s="222">
        <v>2.4E-2</v>
      </c>
      <c r="U11" s="16"/>
      <c r="V11" s="16"/>
      <c r="W11" s="16"/>
      <c r="X11" s="16"/>
    </row>
    <row r="12" spans="1:24" ht="17" customHeight="1">
      <c r="A12" s="160" t="s">
        <v>94</v>
      </c>
      <c r="B12" s="160" t="s">
        <v>89</v>
      </c>
      <c r="C12" s="160" t="s">
        <v>114</v>
      </c>
      <c r="D12" s="160">
        <v>-47.457853253204043</v>
      </c>
      <c r="E12" s="160">
        <v>-23.499323</v>
      </c>
      <c r="F12" s="160">
        <v>2011</v>
      </c>
      <c r="G12" s="160" t="s">
        <v>90</v>
      </c>
      <c r="H12" s="160" t="s">
        <v>177</v>
      </c>
      <c r="I12" s="160" t="s">
        <v>91</v>
      </c>
      <c r="J12" s="160" t="s">
        <v>81</v>
      </c>
      <c r="K12" s="160">
        <v>1200</v>
      </c>
      <c r="L12" s="160">
        <v>1.2E-2</v>
      </c>
      <c r="M12" s="160" t="s">
        <v>80</v>
      </c>
      <c r="N12" s="160" t="s">
        <v>88</v>
      </c>
      <c r="O12" s="223">
        <v>56.35</v>
      </c>
      <c r="P12" s="222">
        <v>1.2300000000000019E-3</v>
      </c>
      <c r="Q12" s="222">
        <v>1.11E-2</v>
      </c>
      <c r="R12" s="222">
        <v>2.1530000000000001E-2</v>
      </c>
      <c r="S12" s="222">
        <v>2.8299999999999999E-2</v>
      </c>
      <c r="U12" s="16"/>
      <c r="V12" s="16"/>
      <c r="W12" s="16"/>
      <c r="X12" s="16"/>
    </row>
    <row r="13" spans="1:24" ht="17" customHeight="1">
      <c r="A13" s="160" t="s">
        <v>94</v>
      </c>
      <c r="B13" s="160" t="s">
        <v>89</v>
      </c>
      <c r="C13" s="160" t="s">
        <v>129</v>
      </c>
      <c r="D13" s="160">
        <v>-58.117939347991616</v>
      </c>
      <c r="E13" s="160">
        <v>-15.235682810143553</v>
      </c>
      <c r="F13" s="160">
        <v>2011</v>
      </c>
      <c r="G13" s="160" t="s">
        <v>90</v>
      </c>
      <c r="H13" s="160" t="s">
        <v>177</v>
      </c>
      <c r="I13" s="160" t="s">
        <v>91</v>
      </c>
      <c r="J13" s="160" t="s">
        <v>81</v>
      </c>
      <c r="K13" s="160">
        <v>1200</v>
      </c>
      <c r="L13" s="160">
        <v>1.2E-2</v>
      </c>
      <c r="M13" s="160" t="s">
        <v>80</v>
      </c>
      <c r="N13" s="160" t="s">
        <v>88</v>
      </c>
      <c r="O13" s="223">
        <v>8.7249999999999996</v>
      </c>
      <c r="P13" s="222">
        <v>2.0000000000000018E-3</v>
      </c>
      <c r="Q13" s="222">
        <v>2.3E-2</v>
      </c>
      <c r="R13" s="222">
        <v>0.04</v>
      </c>
      <c r="S13" s="222">
        <v>0.05</v>
      </c>
      <c r="U13" s="16"/>
      <c r="V13" s="16"/>
      <c r="W13" s="16"/>
      <c r="X13" s="16"/>
    </row>
    <row r="14" spans="1:24" ht="17" customHeight="1">
      <c r="A14" s="160" t="s">
        <v>94</v>
      </c>
      <c r="B14" s="160" t="s">
        <v>89</v>
      </c>
      <c r="C14" s="160" t="s">
        <v>163</v>
      </c>
      <c r="D14" s="160">
        <v>-39.584171940986373</v>
      </c>
      <c r="E14" s="160">
        <v>-16.375167232256405</v>
      </c>
      <c r="F14" s="160">
        <v>2011</v>
      </c>
      <c r="G14" s="160" t="s">
        <v>90</v>
      </c>
      <c r="H14" s="160" t="s">
        <v>177</v>
      </c>
      <c r="I14" s="160" t="s">
        <v>91</v>
      </c>
      <c r="J14" s="160" t="s">
        <v>81</v>
      </c>
      <c r="K14" s="160">
        <v>600</v>
      </c>
      <c r="L14" s="160">
        <v>1.2E-2</v>
      </c>
      <c r="M14" s="160" t="s">
        <v>80</v>
      </c>
      <c r="N14" s="160" t="s">
        <v>88</v>
      </c>
      <c r="O14" s="223">
        <v>0</v>
      </c>
      <c r="P14" s="222">
        <v>7.999999999999996E-2</v>
      </c>
      <c r="Q14" s="222">
        <v>0.14000000000000001</v>
      </c>
      <c r="R14" s="222">
        <v>0.71</v>
      </c>
      <c r="S14" s="222">
        <v>1.4</v>
      </c>
      <c r="T14" s="15"/>
      <c r="X14" s="16"/>
    </row>
    <row r="15" spans="1:24" ht="17" customHeight="1">
      <c r="A15" s="160" t="s">
        <v>94</v>
      </c>
      <c r="B15" s="160" t="s">
        <v>89</v>
      </c>
      <c r="C15" s="160" t="s">
        <v>164</v>
      </c>
      <c r="D15" s="160">
        <v>-38.21832896822621</v>
      </c>
      <c r="E15" s="160">
        <v>-9.4033316973782313</v>
      </c>
      <c r="F15" s="160">
        <v>2011</v>
      </c>
      <c r="G15" s="160" t="s">
        <v>90</v>
      </c>
      <c r="H15" s="160" t="s">
        <v>177</v>
      </c>
      <c r="I15" s="160" t="s">
        <v>91</v>
      </c>
      <c r="J15" s="160" t="s">
        <v>81</v>
      </c>
      <c r="K15" s="160">
        <v>600</v>
      </c>
      <c r="L15" s="160">
        <v>1.2E-2</v>
      </c>
      <c r="M15" s="160" t="s">
        <v>80</v>
      </c>
      <c r="N15" s="160" t="s">
        <v>88</v>
      </c>
      <c r="O15" s="223">
        <v>0</v>
      </c>
      <c r="P15" s="222">
        <v>7.999999999999996E-2</v>
      </c>
      <c r="Q15" s="222">
        <v>0.15</v>
      </c>
      <c r="R15" s="222">
        <v>0.62</v>
      </c>
      <c r="S15" s="222">
        <v>1.1000000000000001</v>
      </c>
      <c r="T15" s="15"/>
      <c r="U15" s="16"/>
      <c r="V15" s="16"/>
      <c r="W15" s="16"/>
      <c r="X15" s="16"/>
    </row>
    <row r="16" spans="1:24" ht="17" customHeight="1">
      <c r="A16" s="160" t="s">
        <v>94</v>
      </c>
      <c r="B16" s="160" t="s">
        <v>89</v>
      </c>
      <c r="C16" s="160" t="s">
        <v>123</v>
      </c>
      <c r="D16" s="160">
        <v>-38.488061484007851</v>
      </c>
      <c r="E16" s="160">
        <v>-13.014771911532753</v>
      </c>
      <c r="F16" s="160">
        <v>2011</v>
      </c>
      <c r="G16" s="160" t="s">
        <v>90</v>
      </c>
      <c r="H16" s="160" t="s">
        <v>177</v>
      </c>
      <c r="I16" s="160" t="s">
        <v>91</v>
      </c>
      <c r="J16" s="160" t="s">
        <v>81</v>
      </c>
      <c r="K16" s="160">
        <v>900</v>
      </c>
      <c r="L16" s="160">
        <v>1.2E-2</v>
      </c>
      <c r="M16" s="160" t="s">
        <v>80</v>
      </c>
      <c r="N16" s="160" t="s">
        <v>88</v>
      </c>
      <c r="O16" s="223">
        <v>8.8012981312328264</v>
      </c>
      <c r="P16" s="222">
        <v>9.999999999999995E-3</v>
      </c>
      <c r="Q16" s="222">
        <v>4.9680000000000002E-2</v>
      </c>
      <c r="R16" s="222">
        <v>0.12</v>
      </c>
      <c r="S16" s="222">
        <v>0.16</v>
      </c>
      <c r="U16" s="16"/>
      <c r="V16" s="16"/>
      <c r="W16" s="16"/>
      <c r="X16" s="16"/>
    </row>
    <row r="17" spans="1:24" ht="17" customHeight="1">
      <c r="A17" s="160" t="s">
        <v>94</v>
      </c>
      <c r="B17" s="160" t="s">
        <v>89</v>
      </c>
      <c r="C17" s="160" t="s">
        <v>158</v>
      </c>
      <c r="D17" s="160">
        <v>-36.790840052134712</v>
      </c>
      <c r="E17" s="160">
        <v>-9.9569226033201854</v>
      </c>
      <c r="F17" s="160">
        <v>2011</v>
      </c>
      <c r="G17" s="160" t="s">
        <v>90</v>
      </c>
      <c r="H17" s="160" t="s">
        <v>177</v>
      </c>
      <c r="I17" s="160" t="s">
        <v>91</v>
      </c>
      <c r="J17" s="160" t="s">
        <v>81</v>
      </c>
      <c r="K17" s="160">
        <v>600</v>
      </c>
      <c r="L17" s="160">
        <v>1.2E-2</v>
      </c>
      <c r="M17" s="160" t="s">
        <v>80</v>
      </c>
      <c r="N17" s="160" t="s">
        <v>88</v>
      </c>
      <c r="O17" s="223">
        <v>41.85</v>
      </c>
      <c r="P17" s="222">
        <v>1.9999999999999983E-3</v>
      </c>
      <c r="Q17" s="222">
        <v>1.0999999999999999E-2</v>
      </c>
      <c r="R17" s="222">
        <v>2.3E-2</v>
      </c>
      <c r="S17" s="222">
        <v>0.03</v>
      </c>
      <c r="U17" s="16"/>
      <c r="V17" s="16"/>
      <c r="W17" s="16"/>
      <c r="X17" s="16"/>
    </row>
    <row r="18" spans="1:24" ht="17" customHeight="1">
      <c r="A18" s="160" t="s">
        <v>94</v>
      </c>
      <c r="B18" s="160" t="s">
        <v>89</v>
      </c>
      <c r="C18" s="160" t="s">
        <v>159</v>
      </c>
      <c r="D18" s="160">
        <v>-54.758055950193267</v>
      </c>
      <c r="E18" s="160">
        <v>-18.508410538646654</v>
      </c>
      <c r="F18" s="160">
        <v>2011</v>
      </c>
      <c r="G18" s="160" t="s">
        <v>90</v>
      </c>
      <c r="H18" s="160" t="s">
        <v>177</v>
      </c>
      <c r="I18" s="160" t="s">
        <v>91</v>
      </c>
      <c r="J18" s="160" t="s">
        <v>81</v>
      </c>
      <c r="K18" s="160">
        <v>1200</v>
      </c>
      <c r="L18" s="160">
        <v>1.2E-2</v>
      </c>
      <c r="M18" s="160" t="s">
        <v>80</v>
      </c>
      <c r="N18" s="160" t="s">
        <v>88</v>
      </c>
      <c r="O18" s="223">
        <v>48.4</v>
      </c>
      <c r="P18" s="222">
        <v>3.0000000000000027E-3</v>
      </c>
      <c r="Q18" s="222">
        <v>1.7999999999999999E-2</v>
      </c>
      <c r="R18" s="222">
        <v>3.9E-2</v>
      </c>
      <c r="S18" s="222">
        <v>5.2999999999999999E-2</v>
      </c>
      <c r="U18" s="16"/>
      <c r="V18" s="16"/>
      <c r="W18" s="16"/>
      <c r="X18" s="16"/>
    </row>
    <row r="19" spans="1:24" ht="17" customHeight="1">
      <c r="A19" s="160" t="s">
        <v>94</v>
      </c>
      <c r="B19" s="160" t="s">
        <v>89</v>
      </c>
      <c r="C19" s="160" t="s">
        <v>160</v>
      </c>
      <c r="D19" s="160">
        <v>-54.811289122892603</v>
      </c>
      <c r="E19" s="160">
        <v>-22.227235536898849</v>
      </c>
      <c r="F19" s="160">
        <v>2011</v>
      </c>
      <c r="G19" s="160" t="s">
        <v>90</v>
      </c>
      <c r="H19" s="160" t="s">
        <v>177</v>
      </c>
      <c r="I19" s="160" t="s">
        <v>91</v>
      </c>
      <c r="J19" s="160" t="s">
        <v>81</v>
      </c>
      <c r="K19" s="160">
        <v>600</v>
      </c>
      <c r="L19" s="160">
        <v>1.2E-2</v>
      </c>
      <c r="M19" s="160" t="s">
        <v>80</v>
      </c>
      <c r="N19" s="160" t="s">
        <v>88</v>
      </c>
      <c r="O19" s="223">
        <v>39.65</v>
      </c>
      <c r="P19" s="222">
        <v>2.9999999999999992E-3</v>
      </c>
      <c r="Q19" s="222">
        <v>1.4E-2</v>
      </c>
      <c r="R19" s="222">
        <v>2.7E-2</v>
      </c>
      <c r="S19" s="222">
        <v>3.6999999999999998E-2</v>
      </c>
      <c r="U19" s="16"/>
      <c r="V19" s="16"/>
      <c r="W19" s="16"/>
      <c r="X19" s="16"/>
    </row>
    <row r="20" spans="1:24" ht="17" customHeight="1">
      <c r="A20" s="160" t="s">
        <v>94</v>
      </c>
      <c r="B20" s="160" t="s">
        <v>89</v>
      </c>
      <c r="C20" s="160" t="s">
        <v>161</v>
      </c>
      <c r="D20" s="160">
        <v>-51.710000628794234</v>
      </c>
      <c r="E20" s="160">
        <v>-20.788679161391403</v>
      </c>
      <c r="F20" s="160">
        <v>2011</v>
      </c>
      <c r="G20" s="160" t="s">
        <v>90</v>
      </c>
      <c r="H20" s="160" t="s">
        <v>177</v>
      </c>
      <c r="I20" s="160" t="s">
        <v>91</v>
      </c>
      <c r="J20" s="160" t="s">
        <v>81</v>
      </c>
      <c r="K20" s="160">
        <v>1200</v>
      </c>
      <c r="L20" s="160">
        <v>1.2E-2</v>
      </c>
      <c r="M20" s="160" t="s">
        <v>80</v>
      </c>
      <c r="N20" s="160" t="s">
        <v>88</v>
      </c>
      <c r="O20" s="223">
        <v>15.55</v>
      </c>
      <c r="P20" s="222">
        <v>2.0000000000000018E-3</v>
      </c>
      <c r="Q20" s="222">
        <v>1.9E-2</v>
      </c>
      <c r="R20" s="222">
        <v>3.7999999999999999E-2</v>
      </c>
      <c r="S20" s="222">
        <v>5.0999999999999997E-2</v>
      </c>
      <c r="U20" s="16"/>
      <c r="V20" s="16"/>
      <c r="W20" s="16"/>
      <c r="X20" s="16"/>
    </row>
    <row r="21" spans="1:24" ht="17" customHeight="1" thickBot="1">
      <c r="A21" s="215" t="s">
        <v>94</v>
      </c>
      <c r="B21" s="215" t="s">
        <v>89</v>
      </c>
      <c r="C21" s="215" t="s">
        <v>162</v>
      </c>
      <c r="D21" s="215">
        <v>-55.710850177863747</v>
      </c>
      <c r="E21" s="215">
        <v>-22.486187078760256</v>
      </c>
      <c r="F21" s="215">
        <v>2011</v>
      </c>
      <c r="G21" s="215" t="s">
        <v>90</v>
      </c>
      <c r="H21" s="215" t="s">
        <v>177</v>
      </c>
      <c r="I21" s="215" t="s">
        <v>91</v>
      </c>
      <c r="J21" s="215" t="s">
        <v>81</v>
      </c>
      <c r="K21" s="215">
        <v>1200</v>
      </c>
      <c r="L21" s="215">
        <v>1.2E-2</v>
      </c>
      <c r="M21" s="215" t="s">
        <v>80</v>
      </c>
      <c r="N21" s="215" t="s">
        <v>88</v>
      </c>
      <c r="O21" s="224">
        <v>32.049999999999997</v>
      </c>
      <c r="P21" s="225">
        <v>1.0000000000000009E-3</v>
      </c>
      <c r="Q21" s="225">
        <v>1.4999999999999999E-2</v>
      </c>
      <c r="R21" s="225">
        <v>3.1E-2</v>
      </c>
      <c r="S21" s="225">
        <v>4.2000000000000003E-2</v>
      </c>
      <c r="U21" s="16"/>
      <c r="V21" s="16"/>
      <c r="W21" s="16"/>
      <c r="X21" s="16"/>
    </row>
    <row r="22" spans="1:24" ht="17" customHeight="1">
      <c r="A22" s="160" t="s">
        <v>94</v>
      </c>
      <c r="B22" s="160" t="s">
        <v>89</v>
      </c>
      <c r="C22" s="219" t="s">
        <v>124</v>
      </c>
      <c r="D22" s="261"/>
      <c r="E22" s="262"/>
      <c r="F22" s="160">
        <v>2011</v>
      </c>
      <c r="G22" s="160" t="s">
        <v>90</v>
      </c>
      <c r="H22" s="160" t="s">
        <v>177</v>
      </c>
      <c r="I22" s="160" t="s">
        <v>91</v>
      </c>
      <c r="J22" s="160" t="s">
        <v>92</v>
      </c>
      <c r="K22" s="160">
        <v>1200</v>
      </c>
      <c r="L22" s="160">
        <v>0.01</v>
      </c>
      <c r="M22" s="160" t="s">
        <v>80</v>
      </c>
      <c r="N22" s="160" t="s">
        <v>88</v>
      </c>
      <c r="O22" s="160">
        <v>100</v>
      </c>
      <c r="P22" s="222">
        <v>1.0000000000000026E-4</v>
      </c>
      <c r="Q22" s="222">
        <v>1.8E-3</v>
      </c>
      <c r="R22" s="222">
        <v>3.0000000000000001E-3</v>
      </c>
      <c r="S22" s="222">
        <v>3.8E-3</v>
      </c>
      <c r="U22" s="16"/>
      <c r="V22" s="16"/>
      <c r="W22" s="16"/>
      <c r="X22" s="16"/>
    </row>
    <row r="23" spans="1:24" ht="17" customHeight="1">
      <c r="A23" s="160" t="s">
        <v>94</v>
      </c>
      <c r="B23" s="160" t="s">
        <v>89</v>
      </c>
      <c r="C23" s="160" t="s">
        <v>100</v>
      </c>
      <c r="D23" s="160">
        <v>-50.439226072752582</v>
      </c>
      <c r="E23" s="160">
        <v>-21.205476000000004</v>
      </c>
      <c r="F23" s="160">
        <v>2011</v>
      </c>
      <c r="G23" s="160" t="s">
        <v>90</v>
      </c>
      <c r="H23" s="160" t="s">
        <v>177</v>
      </c>
      <c r="I23" s="160" t="s">
        <v>91</v>
      </c>
      <c r="J23" s="160" t="s">
        <v>92</v>
      </c>
      <c r="K23" s="160">
        <v>900</v>
      </c>
      <c r="L23" s="160">
        <v>0.01</v>
      </c>
      <c r="M23" s="160" t="s">
        <v>80</v>
      </c>
      <c r="N23" s="160" t="s">
        <v>88</v>
      </c>
      <c r="O23" s="223">
        <f>(81.2+98.1+77.5)/3</f>
        <v>85.600000000000009</v>
      </c>
      <c r="P23" s="222">
        <v>1E-4</v>
      </c>
      <c r="Q23" s="222">
        <v>6.6E-3</v>
      </c>
      <c r="R23" s="222">
        <v>1.2E-2</v>
      </c>
      <c r="S23" s="222">
        <v>1.6E-2</v>
      </c>
      <c r="U23" s="16"/>
      <c r="V23" s="16"/>
      <c r="W23" s="16"/>
      <c r="X23" s="16"/>
    </row>
    <row r="24" spans="1:24" ht="17" customHeight="1">
      <c r="A24" s="160" t="s">
        <v>94</v>
      </c>
      <c r="B24" s="160" t="s">
        <v>89</v>
      </c>
      <c r="C24" s="160" t="s">
        <v>102</v>
      </c>
      <c r="D24" s="160">
        <v>-49.083000867090362</v>
      </c>
      <c r="E24" s="160">
        <v>-22.325122500000006</v>
      </c>
      <c r="F24" s="160">
        <v>2011</v>
      </c>
      <c r="G24" s="160" t="s">
        <v>90</v>
      </c>
      <c r="H24" s="160" t="s">
        <v>177</v>
      </c>
      <c r="I24" s="160" t="s">
        <v>91</v>
      </c>
      <c r="J24" s="160" t="s">
        <v>92</v>
      </c>
      <c r="K24" s="160">
        <v>1200</v>
      </c>
      <c r="L24" s="160">
        <v>0.01</v>
      </c>
      <c r="M24" s="160" t="s">
        <v>80</v>
      </c>
      <c r="N24" s="160" t="s">
        <v>88</v>
      </c>
      <c r="O24" s="223">
        <f>(99.4+98.1+97.5+98.7)/4</f>
        <v>98.424999999999997</v>
      </c>
      <c r="P24" s="222">
        <v>3.9999999999999931E-4</v>
      </c>
      <c r="Q24" s="222">
        <v>5.0000000000000001E-3</v>
      </c>
      <c r="R24" s="222">
        <v>8.6E-3</v>
      </c>
      <c r="S24" s="222">
        <v>1.0999999999999999E-2</v>
      </c>
      <c r="U24" s="16"/>
      <c r="V24" s="16"/>
      <c r="W24" s="16"/>
      <c r="X24" s="16"/>
    </row>
    <row r="25" spans="1:24" ht="17" customHeight="1">
      <c r="A25" s="160" t="s">
        <v>94</v>
      </c>
      <c r="B25" s="160" t="s">
        <v>89</v>
      </c>
      <c r="C25" s="160" t="s">
        <v>104</v>
      </c>
      <c r="D25" s="160">
        <v>-47.06015627297316</v>
      </c>
      <c r="E25" s="160">
        <v>-22.907342500000002</v>
      </c>
      <c r="F25" s="160">
        <v>2011</v>
      </c>
      <c r="G25" s="160" t="s">
        <v>90</v>
      </c>
      <c r="H25" s="160" t="s">
        <v>177</v>
      </c>
      <c r="I25" s="160" t="s">
        <v>91</v>
      </c>
      <c r="J25" s="160" t="s">
        <v>92</v>
      </c>
      <c r="K25" s="160">
        <v>900</v>
      </c>
      <c r="L25" s="160">
        <v>0.01</v>
      </c>
      <c r="M25" s="160" t="s">
        <v>80</v>
      </c>
      <c r="N25" s="160" t="s">
        <v>88</v>
      </c>
      <c r="O25" s="223">
        <v>99.6</v>
      </c>
      <c r="P25" s="222">
        <v>4.0000000000000018E-4</v>
      </c>
      <c r="Q25" s="222">
        <v>5.5999999999999999E-3</v>
      </c>
      <c r="R25" s="222">
        <v>8.0000000000000002E-3</v>
      </c>
      <c r="S25" s="222">
        <v>9.1999999999999998E-3</v>
      </c>
      <c r="U25" s="16"/>
      <c r="V25" s="16"/>
      <c r="W25" s="16"/>
      <c r="X25" s="16"/>
    </row>
    <row r="26" spans="1:24" ht="17" customHeight="1">
      <c r="A26" s="160" t="s">
        <v>94</v>
      </c>
      <c r="B26" s="160" t="s">
        <v>89</v>
      </c>
      <c r="C26" s="160" t="s">
        <v>107</v>
      </c>
      <c r="D26" s="160">
        <v>-49.951645643103269</v>
      </c>
      <c r="E26" s="160">
        <v>-22.214933000000002</v>
      </c>
      <c r="F26" s="160">
        <v>2011</v>
      </c>
      <c r="G26" s="160" t="s">
        <v>90</v>
      </c>
      <c r="H26" s="160" t="s">
        <v>177</v>
      </c>
      <c r="I26" s="160" t="s">
        <v>91</v>
      </c>
      <c r="J26" s="160" t="s">
        <v>92</v>
      </c>
      <c r="K26" s="160">
        <v>1200</v>
      </c>
      <c r="L26" s="160">
        <v>0.01</v>
      </c>
      <c r="M26" s="160" t="s">
        <v>80</v>
      </c>
      <c r="N26" s="160" t="s">
        <v>88</v>
      </c>
      <c r="O26" s="223">
        <f>(90.1+100+96.2+98.8)/4</f>
        <v>96.275000000000006</v>
      </c>
      <c r="P26" s="222">
        <v>4.0000000000000105E-4</v>
      </c>
      <c r="Q26" s="222">
        <v>5.3E-3</v>
      </c>
      <c r="R26" s="222">
        <v>9.4000000000000004E-3</v>
      </c>
      <c r="S26" s="222">
        <v>1.2E-2</v>
      </c>
      <c r="U26" s="16"/>
      <c r="V26" s="16"/>
      <c r="W26" s="16"/>
      <c r="X26" s="16"/>
    </row>
    <row r="27" spans="1:24" ht="17" customHeight="1">
      <c r="A27" s="160" t="s">
        <v>94</v>
      </c>
      <c r="B27" s="160" t="s">
        <v>89</v>
      </c>
      <c r="C27" s="160" t="s">
        <v>95</v>
      </c>
      <c r="D27" s="160">
        <v>-46.570383182112749</v>
      </c>
      <c r="E27" s="160">
        <v>-23.567386500000001</v>
      </c>
      <c r="F27" s="160">
        <v>2011</v>
      </c>
      <c r="G27" s="160" t="s">
        <v>90</v>
      </c>
      <c r="H27" s="160" t="s">
        <v>177</v>
      </c>
      <c r="I27" s="160" t="s">
        <v>91</v>
      </c>
      <c r="J27" s="160" t="s">
        <v>92</v>
      </c>
      <c r="K27" s="160">
        <v>900</v>
      </c>
      <c r="L27" s="160">
        <v>0.01</v>
      </c>
      <c r="M27" s="160" t="s">
        <v>80</v>
      </c>
      <c r="N27" s="160" t="s">
        <v>88</v>
      </c>
      <c r="O27" s="223">
        <f>(97.5+100+98.1)/3</f>
        <v>98.533333333333346</v>
      </c>
      <c r="P27" s="222">
        <v>2.9999999999999992E-4</v>
      </c>
      <c r="Q27" s="222">
        <v>5.5999999999999999E-3</v>
      </c>
      <c r="R27" s="222">
        <v>8.3999999999999995E-3</v>
      </c>
      <c r="S27" s="222">
        <v>9.9900000000000006E-3</v>
      </c>
      <c r="U27" s="16"/>
      <c r="V27" s="16"/>
      <c r="W27" s="16"/>
      <c r="X27" s="16"/>
    </row>
    <row r="28" spans="1:24" ht="17" customHeight="1">
      <c r="A28" s="160" t="s">
        <v>94</v>
      </c>
      <c r="B28" s="160" t="s">
        <v>89</v>
      </c>
      <c r="C28" s="160" t="s">
        <v>108</v>
      </c>
      <c r="D28" s="160">
        <v>-51.386765581912492</v>
      </c>
      <c r="E28" s="160">
        <v>-22.122743500000002</v>
      </c>
      <c r="F28" s="160">
        <v>2011</v>
      </c>
      <c r="G28" s="160" t="s">
        <v>90</v>
      </c>
      <c r="H28" s="160" t="s">
        <v>177</v>
      </c>
      <c r="I28" s="160" t="s">
        <v>91</v>
      </c>
      <c r="J28" s="160" t="s">
        <v>92</v>
      </c>
      <c r="K28" s="160">
        <v>900</v>
      </c>
      <c r="L28" s="160">
        <v>0.01</v>
      </c>
      <c r="M28" s="160" t="s">
        <v>80</v>
      </c>
      <c r="N28" s="160" t="s">
        <v>88</v>
      </c>
      <c r="O28" s="223">
        <f>(92.5+93.2+97.5)/3</f>
        <v>94.399999999999991</v>
      </c>
      <c r="P28" s="222">
        <v>5.0000000000000044E-4</v>
      </c>
      <c r="Q28" s="222">
        <v>6.0000000000000001E-3</v>
      </c>
      <c r="R28" s="222">
        <v>0.01</v>
      </c>
      <c r="S28" s="222">
        <v>1.2E-2</v>
      </c>
      <c r="U28" s="16"/>
      <c r="V28" s="16"/>
      <c r="W28" s="16"/>
      <c r="X28" s="16"/>
    </row>
    <row r="29" spans="1:24" ht="17" customHeight="1">
      <c r="A29" s="160" t="s">
        <v>94</v>
      </c>
      <c r="B29" s="160" t="s">
        <v>89</v>
      </c>
      <c r="C29" s="160" t="s">
        <v>109</v>
      </c>
      <c r="D29" s="160">
        <v>-47.805475915541528</v>
      </c>
      <c r="E29" s="160">
        <v>-21.184834500000004</v>
      </c>
      <c r="F29" s="160">
        <v>2011</v>
      </c>
      <c r="G29" s="160" t="s">
        <v>90</v>
      </c>
      <c r="H29" s="160" t="s">
        <v>177</v>
      </c>
      <c r="I29" s="160" t="s">
        <v>91</v>
      </c>
      <c r="J29" s="160" t="s">
        <v>92</v>
      </c>
      <c r="K29" s="160">
        <v>1200</v>
      </c>
      <c r="L29" s="160">
        <v>0.01</v>
      </c>
      <c r="M29" s="160" t="s">
        <v>80</v>
      </c>
      <c r="N29" s="160" t="s">
        <v>88</v>
      </c>
      <c r="O29" s="223">
        <v>93.724999999999994</v>
      </c>
      <c r="P29" s="222">
        <v>9.9999999999999915E-4</v>
      </c>
      <c r="Q29" s="222">
        <v>6.0000000000000001E-3</v>
      </c>
      <c r="R29" s="222">
        <v>1.0999999999999999E-2</v>
      </c>
      <c r="S29" s="222">
        <v>1.2999999999999999E-2</v>
      </c>
      <c r="U29" s="16"/>
      <c r="V29" s="16"/>
      <c r="W29" s="16"/>
      <c r="X29" s="16"/>
    </row>
    <row r="30" spans="1:24" ht="17" customHeight="1">
      <c r="A30" s="160" t="s">
        <v>94</v>
      </c>
      <c r="B30" s="160" t="s">
        <v>89</v>
      </c>
      <c r="C30" s="160" t="s">
        <v>110</v>
      </c>
      <c r="D30" s="160">
        <v>-46.331370849190684</v>
      </c>
      <c r="E30" s="160">
        <v>-23.933737500000003</v>
      </c>
      <c r="F30" s="160">
        <v>2011</v>
      </c>
      <c r="G30" s="160" t="s">
        <v>90</v>
      </c>
      <c r="H30" s="160" t="s">
        <v>177</v>
      </c>
      <c r="I30" s="160" t="s">
        <v>91</v>
      </c>
      <c r="J30" s="160" t="s">
        <v>92</v>
      </c>
      <c r="K30" s="160">
        <v>1200</v>
      </c>
      <c r="L30" s="160">
        <v>0.01</v>
      </c>
      <c r="M30" s="160" t="s">
        <v>80</v>
      </c>
      <c r="N30" s="160" t="s">
        <v>88</v>
      </c>
      <c r="O30" s="223">
        <f>(93.3+98.7+96.5+100)/4</f>
        <v>97.125</v>
      </c>
      <c r="P30" s="222">
        <v>3.9999999999999931E-4</v>
      </c>
      <c r="Q30" s="222">
        <v>5.7000000000000002E-3</v>
      </c>
      <c r="R30" s="222">
        <v>9.1999999999999998E-3</v>
      </c>
      <c r="S30" s="222">
        <v>1.0999999999999999E-2</v>
      </c>
      <c r="U30" s="16"/>
      <c r="V30" s="16"/>
      <c r="W30" s="16"/>
      <c r="X30" s="16"/>
    </row>
    <row r="31" spans="1:24" ht="17" customHeight="1">
      <c r="A31" s="160" t="s">
        <v>94</v>
      </c>
      <c r="B31" s="160" t="s">
        <v>89</v>
      </c>
      <c r="C31" s="160" t="s">
        <v>113</v>
      </c>
      <c r="D31" s="160">
        <v>-45.402680140543957</v>
      </c>
      <c r="E31" s="160">
        <v>-23.806687652148753</v>
      </c>
      <c r="F31" s="160">
        <v>2011</v>
      </c>
      <c r="G31" s="160" t="s">
        <v>90</v>
      </c>
      <c r="H31" s="160" t="s">
        <v>177</v>
      </c>
      <c r="I31" s="160" t="s">
        <v>91</v>
      </c>
      <c r="J31" s="160" t="s">
        <v>92</v>
      </c>
      <c r="K31" s="160">
        <v>1800</v>
      </c>
      <c r="L31" s="160">
        <v>0.01</v>
      </c>
      <c r="M31" s="160" t="s">
        <v>80</v>
      </c>
      <c r="N31" s="160" t="s">
        <v>88</v>
      </c>
      <c r="O31" s="223">
        <f>(98.8+95+98.8+96.1+85.6+97.3)/6</f>
        <v>95.266666666666666</v>
      </c>
      <c r="P31" s="222">
        <v>2.9999999999999992E-4</v>
      </c>
      <c r="Q31" s="222">
        <v>6.6E-3</v>
      </c>
      <c r="R31" s="222">
        <v>0.01</v>
      </c>
      <c r="S31" s="222">
        <v>1.2E-2</v>
      </c>
      <c r="U31" s="16"/>
      <c r="V31" s="16"/>
      <c r="W31" s="16"/>
      <c r="X31" s="16"/>
    </row>
    <row r="32" spans="1:24" ht="17" customHeight="1">
      <c r="A32" s="160" t="s">
        <v>94</v>
      </c>
      <c r="B32" s="160" t="s">
        <v>89</v>
      </c>
      <c r="C32" s="160" t="s">
        <v>114</v>
      </c>
      <c r="D32" s="160">
        <v>-47.457853253204043</v>
      </c>
      <c r="E32" s="160">
        <v>-23.499323</v>
      </c>
      <c r="F32" s="160">
        <v>2011</v>
      </c>
      <c r="G32" s="160" t="s">
        <v>90</v>
      </c>
      <c r="H32" s="160" t="s">
        <v>177</v>
      </c>
      <c r="I32" s="160" t="s">
        <v>91</v>
      </c>
      <c r="J32" s="160" t="s">
        <v>92</v>
      </c>
      <c r="K32" s="160">
        <v>900</v>
      </c>
      <c r="L32" s="160">
        <v>0.01</v>
      </c>
      <c r="M32" s="160" t="s">
        <v>80</v>
      </c>
      <c r="N32" s="160" t="s">
        <v>88</v>
      </c>
      <c r="O32" s="223">
        <f>(99.4+98.2+96.9)/3</f>
        <v>98.166666666666671</v>
      </c>
      <c r="P32" s="222">
        <v>4.0000000000000105E-4</v>
      </c>
      <c r="Q32" s="222">
        <v>4.5999999999999999E-3</v>
      </c>
      <c r="R32" s="222">
        <v>8.5000000000000006E-3</v>
      </c>
      <c r="S32" s="222">
        <v>1.0999999999999999E-2</v>
      </c>
      <c r="U32" s="16"/>
      <c r="V32" s="16"/>
      <c r="W32" s="16"/>
      <c r="X32" s="16"/>
    </row>
    <row r="33" spans="1:24" ht="17" customHeight="1">
      <c r="A33" s="160" t="s">
        <v>94</v>
      </c>
      <c r="B33" s="160" t="s">
        <v>89</v>
      </c>
      <c r="C33" s="160" t="s">
        <v>129</v>
      </c>
      <c r="D33" s="160">
        <v>-58.117939347991616</v>
      </c>
      <c r="E33" s="160">
        <v>-15.235682810143553</v>
      </c>
      <c r="F33" s="160">
        <v>2011</v>
      </c>
      <c r="G33" s="160" t="s">
        <v>90</v>
      </c>
      <c r="H33" s="160" t="s">
        <v>177</v>
      </c>
      <c r="I33" s="160" t="s">
        <v>91</v>
      </c>
      <c r="J33" s="160" t="s">
        <v>92</v>
      </c>
      <c r="K33" s="160">
        <v>1200</v>
      </c>
      <c r="L33" s="160">
        <v>0.01</v>
      </c>
      <c r="M33" s="160" t="s">
        <v>80</v>
      </c>
      <c r="N33" s="160" t="s">
        <v>88</v>
      </c>
      <c r="O33" s="223">
        <f>(100+95.5+100+100)/4</f>
        <v>98.875</v>
      </c>
      <c r="P33" s="222">
        <v>2.9999999999999992E-4</v>
      </c>
      <c r="Q33" s="222">
        <v>5.3E-3</v>
      </c>
      <c r="R33" s="222">
        <v>8.2000000000000007E-3</v>
      </c>
      <c r="S33" s="222">
        <v>9.9000000000000008E-3</v>
      </c>
      <c r="U33" s="16"/>
      <c r="V33" s="16"/>
      <c r="W33" s="16"/>
      <c r="X33" s="16"/>
    </row>
    <row r="34" spans="1:24" ht="17" customHeight="1">
      <c r="A34" s="160" t="s">
        <v>94</v>
      </c>
      <c r="B34" s="160" t="s">
        <v>89</v>
      </c>
      <c r="C34" s="160" t="s">
        <v>119</v>
      </c>
      <c r="D34" s="160">
        <v>-60.023335181061036</v>
      </c>
      <c r="E34" s="160">
        <v>-3.1346914912019459</v>
      </c>
      <c r="F34" s="160">
        <v>2011</v>
      </c>
      <c r="G34" s="160" t="s">
        <v>90</v>
      </c>
      <c r="H34" s="160" t="s">
        <v>177</v>
      </c>
      <c r="I34" s="160" t="s">
        <v>91</v>
      </c>
      <c r="J34" s="160" t="s">
        <v>92</v>
      </c>
      <c r="K34" s="160">
        <v>1500</v>
      </c>
      <c r="L34" s="160">
        <v>0.01</v>
      </c>
      <c r="M34" s="160" t="s">
        <v>80</v>
      </c>
      <c r="N34" s="160" t="s">
        <v>88</v>
      </c>
      <c r="O34" s="223">
        <f>(98.6+97.5+100+100+100)/5</f>
        <v>99.22</v>
      </c>
      <c r="P34" s="222">
        <v>2.9999999999999992E-4</v>
      </c>
      <c r="Q34" s="222">
        <v>4.7999999999999996E-3</v>
      </c>
      <c r="R34" s="222">
        <v>7.1999999999999998E-3</v>
      </c>
      <c r="S34" s="222">
        <v>8.5000000000000006E-3</v>
      </c>
      <c r="U34" s="16"/>
      <c r="V34" s="16"/>
      <c r="W34" s="16"/>
      <c r="X34" s="16"/>
    </row>
    <row r="35" spans="1:24" ht="17" customHeight="1">
      <c r="A35" s="160" t="s">
        <v>94</v>
      </c>
      <c r="B35" s="160" t="s">
        <v>89</v>
      </c>
      <c r="C35" s="160" t="s">
        <v>163</v>
      </c>
      <c r="D35" s="160">
        <v>-39.584171940986373</v>
      </c>
      <c r="E35" s="160">
        <v>-16.375167232256405</v>
      </c>
      <c r="F35" s="160">
        <v>2011</v>
      </c>
      <c r="G35" s="160" t="s">
        <v>90</v>
      </c>
      <c r="H35" s="160" t="s">
        <v>177</v>
      </c>
      <c r="I35" s="160" t="s">
        <v>91</v>
      </c>
      <c r="J35" s="160" t="s">
        <v>92</v>
      </c>
      <c r="K35" s="160">
        <v>900</v>
      </c>
      <c r="L35" s="160">
        <v>0.01</v>
      </c>
      <c r="M35" s="160" t="s">
        <v>80</v>
      </c>
      <c r="N35" s="160" t="s">
        <v>88</v>
      </c>
      <c r="O35" s="223">
        <f>(37.5+42.2+29)/3</f>
        <v>36.233333333333334</v>
      </c>
      <c r="P35" s="222">
        <v>2.9999999999999957E-3</v>
      </c>
      <c r="Q35" s="222">
        <v>1.2999999999999999E-2</v>
      </c>
      <c r="R35" s="222">
        <v>3.5999999999999997E-2</v>
      </c>
      <c r="S35" s="222">
        <v>5.6000000000000001E-2</v>
      </c>
      <c r="U35" s="16"/>
      <c r="V35" s="16"/>
      <c r="W35" s="16"/>
      <c r="X35" s="16"/>
    </row>
    <row r="36" spans="1:24" ht="17" customHeight="1">
      <c r="A36" s="160" t="s">
        <v>94</v>
      </c>
      <c r="B36" s="160" t="s">
        <v>89</v>
      </c>
      <c r="C36" s="160" t="s">
        <v>164</v>
      </c>
      <c r="D36" s="160">
        <v>-38.21832896822621</v>
      </c>
      <c r="E36" s="160">
        <v>-9.4033316973782313</v>
      </c>
      <c r="F36" s="160">
        <v>2011</v>
      </c>
      <c r="G36" s="160" t="s">
        <v>90</v>
      </c>
      <c r="H36" s="160" t="s">
        <v>177</v>
      </c>
      <c r="I36" s="160" t="s">
        <v>91</v>
      </c>
      <c r="J36" s="160" t="s">
        <v>92</v>
      </c>
      <c r="K36" s="160">
        <v>600</v>
      </c>
      <c r="L36" s="160">
        <v>0.01</v>
      </c>
      <c r="M36" s="160" t="s">
        <v>80</v>
      </c>
      <c r="N36" s="160" t="s">
        <v>88</v>
      </c>
      <c r="O36" s="223">
        <f>(21+12.6)/2</f>
        <v>16.8</v>
      </c>
      <c r="P36" s="222">
        <v>6.9999999999999993E-3</v>
      </c>
      <c r="Q36" s="222">
        <v>1.9E-2</v>
      </c>
      <c r="R36" s="222">
        <v>4.5999999999999999E-2</v>
      </c>
      <c r="S36" s="222">
        <v>6.7000000000000004E-2</v>
      </c>
      <c r="X36" s="16"/>
    </row>
    <row r="37" spans="1:24" ht="17" customHeight="1">
      <c r="A37" s="160" t="s">
        <v>94</v>
      </c>
      <c r="B37" s="160" t="s">
        <v>89</v>
      </c>
      <c r="C37" s="160" t="s">
        <v>123</v>
      </c>
      <c r="D37" s="160">
        <v>-38.488061484007851</v>
      </c>
      <c r="E37" s="160">
        <v>-13.014771911532753</v>
      </c>
      <c r="F37" s="160">
        <v>2011</v>
      </c>
      <c r="G37" s="160" t="s">
        <v>90</v>
      </c>
      <c r="H37" s="160" t="s">
        <v>177</v>
      </c>
      <c r="I37" s="160" t="s">
        <v>91</v>
      </c>
      <c r="J37" s="160" t="s">
        <v>92</v>
      </c>
      <c r="K37" s="160">
        <v>1500</v>
      </c>
      <c r="L37" s="160">
        <v>0.01</v>
      </c>
      <c r="M37" s="160" t="s">
        <v>80</v>
      </c>
      <c r="N37" s="160" t="s">
        <v>88</v>
      </c>
      <c r="O37" s="223">
        <f>(19.4+55+55+64.6+48.1)/5</f>
        <v>48.42</v>
      </c>
      <c r="P37" s="222">
        <v>1.0000000000000009E-3</v>
      </c>
      <c r="Q37" s="222">
        <v>0.01</v>
      </c>
      <c r="R37" s="222">
        <v>0.02</v>
      </c>
      <c r="S37" s="222">
        <v>2.5999999999999999E-2</v>
      </c>
      <c r="X37" s="16"/>
    </row>
    <row r="38" spans="1:24" s="14" customFormat="1" ht="17" customHeight="1">
      <c r="A38" s="160" t="s">
        <v>94</v>
      </c>
      <c r="B38" s="160" t="s">
        <v>89</v>
      </c>
      <c r="C38" s="160" t="s">
        <v>158</v>
      </c>
      <c r="D38" s="160">
        <v>-36.790840052134712</v>
      </c>
      <c r="E38" s="160">
        <v>-9.9569226033201854</v>
      </c>
      <c r="F38" s="160">
        <v>2011</v>
      </c>
      <c r="G38" s="160" t="s">
        <v>90</v>
      </c>
      <c r="H38" s="160" t="s">
        <v>177</v>
      </c>
      <c r="I38" s="160" t="s">
        <v>91</v>
      </c>
      <c r="J38" s="160" t="s">
        <v>92</v>
      </c>
      <c r="K38" s="160">
        <v>1200</v>
      </c>
      <c r="L38" s="160">
        <v>0.01</v>
      </c>
      <c r="M38" s="160" t="s">
        <v>80</v>
      </c>
      <c r="N38" s="160" t="s">
        <v>88</v>
      </c>
      <c r="O38" s="223">
        <f>(80.7+94.2+70+90.1)/4</f>
        <v>83.75</v>
      </c>
      <c r="P38" s="222">
        <v>1.0000000000000009E-3</v>
      </c>
      <c r="Q38" s="222">
        <v>7.4000000000000003E-3</v>
      </c>
      <c r="R38" s="222">
        <v>1.2E-2</v>
      </c>
      <c r="S38" s="222">
        <v>1.4999999999999999E-2</v>
      </c>
    </row>
    <row r="39" spans="1:24" ht="17" customHeight="1">
      <c r="A39" s="160" t="s">
        <v>94</v>
      </c>
      <c r="B39" s="160" t="s">
        <v>89</v>
      </c>
      <c r="C39" s="160" t="s">
        <v>159</v>
      </c>
      <c r="D39" s="160">
        <v>-54.758055950193267</v>
      </c>
      <c r="E39" s="160">
        <v>-18.508410538646654</v>
      </c>
      <c r="F39" s="160">
        <v>2011</v>
      </c>
      <c r="G39" s="160" t="s">
        <v>90</v>
      </c>
      <c r="H39" s="160" t="s">
        <v>177</v>
      </c>
      <c r="I39" s="160" t="s">
        <v>91</v>
      </c>
      <c r="J39" s="160" t="s">
        <v>92</v>
      </c>
      <c r="K39" s="160">
        <v>900</v>
      </c>
      <c r="L39" s="160">
        <v>0.01</v>
      </c>
      <c r="M39" s="160" t="s">
        <v>80</v>
      </c>
      <c r="N39" s="160" t="s">
        <v>88</v>
      </c>
      <c r="O39" s="223">
        <f>(89.2+86.2+78)/3</f>
        <v>84.466666666666669</v>
      </c>
      <c r="P39" s="222">
        <v>1E-4</v>
      </c>
      <c r="Q39" s="222">
        <v>7.6E-3</v>
      </c>
      <c r="R39" s="222">
        <v>1.2E-2</v>
      </c>
      <c r="S39" s="222">
        <v>1.4999999999999999E-2</v>
      </c>
      <c r="X39" s="16"/>
    </row>
    <row r="40" spans="1:24" ht="17" customHeight="1">
      <c r="A40" s="160" t="s">
        <v>94</v>
      </c>
      <c r="B40" s="160" t="s">
        <v>89</v>
      </c>
      <c r="C40" s="160" t="s">
        <v>160</v>
      </c>
      <c r="D40" s="160">
        <v>-54.811289122892603</v>
      </c>
      <c r="E40" s="160">
        <v>-22.227235536898849</v>
      </c>
      <c r="F40" s="160">
        <v>2011</v>
      </c>
      <c r="G40" s="160" t="s">
        <v>90</v>
      </c>
      <c r="H40" s="160" t="s">
        <v>177</v>
      </c>
      <c r="I40" s="160" t="s">
        <v>91</v>
      </c>
      <c r="J40" s="160" t="s">
        <v>92</v>
      </c>
      <c r="K40" s="160">
        <v>1200</v>
      </c>
      <c r="L40" s="160">
        <v>0.01</v>
      </c>
      <c r="M40" s="160" t="s">
        <v>80</v>
      </c>
      <c r="N40" s="160" t="s">
        <v>88</v>
      </c>
      <c r="O40" s="223">
        <f>(88.7+93.9+86.1+93.8)/4</f>
        <v>90.625000000000014</v>
      </c>
      <c r="P40" s="222">
        <v>1.0000000000000009E-3</v>
      </c>
      <c r="Q40" s="222">
        <v>6.6E-3</v>
      </c>
      <c r="R40" s="222">
        <v>1.0999999999999999E-2</v>
      </c>
      <c r="S40" s="222">
        <v>1.4E-2</v>
      </c>
      <c r="X40" s="16"/>
    </row>
    <row r="41" spans="1:24" ht="17" customHeight="1">
      <c r="A41" s="160" t="s">
        <v>94</v>
      </c>
      <c r="B41" s="160" t="s">
        <v>89</v>
      </c>
      <c r="C41" s="160" t="s">
        <v>161</v>
      </c>
      <c r="D41" s="160">
        <v>-51.710000628794234</v>
      </c>
      <c r="E41" s="160">
        <v>-20.788679161391403</v>
      </c>
      <c r="F41" s="160">
        <v>2011</v>
      </c>
      <c r="G41" s="160" t="s">
        <v>90</v>
      </c>
      <c r="H41" s="160" t="s">
        <v>177</v>
      </c>
      <c r="I41" s="160" t="s">
        <v>91</v>
      </c>
      <c r="J41" s="160" t="s">
        <v>92</v>
      </c>
      <c r="K41" s="160">
        <v>1200</v>
      </c>
      <c r="L41" s="160">
        <v>0.01</v>
      </c>
      <c r="M41" s="160" t="s">
        <v>80</v>
      </c>
      <c r="N41" s="160" t="s">
        <v>88</v>
      </c>
      <c r="O41" s="223">
        <f>(72+71.2+66.3+60.3)/4</f>
        <v>67.45</v>
      </c>
      <c r="P41" s="222">
        <v>9.9999999999999915E-4</v>
      </c>
      <c r="Q41" s="222">
        <v>8.2000000000000007E-3</v>
      </c>
      <c r="R41" s="222">
        <v>1.2999999999999999E-2</v>
      </c>
      <c r="S41" s="222">
        <v>1.6E-2</v>
      </c>
      <c r="X41" s="16"/>
    </row>
    <row r="42" spans="1:24" ht="17" customHeight="1" thickBot="1">
      <c r="A42" s="215" t="s">
        <v>94</v>
      </c>
      <c r="B42" s="215" t="s">
        <v>89</v>
      </c>
      <c r="C42" s="215" t="s">
        <v>162</v>
      </c>
      <c r="D42" s="215">
        <v>-55.710850177863747</v>
      </c>
      <c r="E42" s="215">
        <v>-22.486187078760256</v>
      </c>
      <c r="F42" s="215">
        <v>2011</v>
      </c>
      <c r="G42" s="215" t="s">
        <v>90</v>
      </c>
      <c r="H42" s="215" t="s">
        <v>177</v>
      </c>
      <c r="I42" s="215" t="s">
        <v>91</v>
      </c>
      <c r="J42" s="215" t="s">
        <v>92</v>
      </c>
      <c r="K42" s="215">
        <v>900</v>
      </c>
      <c r="L42" s="215">
        <v>0.01</v>
      </c>
      <c r="M42" s="215" t="s">
        <v>80</v>
      </c>
      <c r="N42" s="215" t="s">
        <v>88</v>
      </c>
      <c r="O42" s="224">
        <f>(98.1+98+94)/3</f>
        <v>96.7</v>
      </c>
      <c r="P42" s="225">
        <v>3.9999999999999931E-4</v>
      </c>
      <c r="Q42" s="225">
        <v>6.1999999999999998E-3</v>
      </c>
      <c r="R42" s="225">
        <v>9.4999999999999998E-3</v>
      </c>
      <c r="S42" s="225">
        <v>1.141E-2</v>
      </c>
      <c r="X42" s="16"/>
    </row>
    <row r="43" spans="1:24" ht="17" customHeight="1">
      <c r="A43" s="160" t="s">
        <v>94</v>
      </c>
      <c r="B43" s="160" t="s">
        <v>89</v>
      </c>
      <c r="C43" s="219" t="s">
        <v>124</v>
      </c>
      <c r="D43" s="261"/>
      <c r="E43" s="262"/>
      <c r="F43" s="160">
        <v>2011</v>
      </c>
      <c r="G43" s="160" t="s">
        <v>90</v>
      </c>
      <c r="H43" s="160" t="s">
        <v>177</v>
      </c>
      <c r="I43" s="160" t="s">
        <v>91</v>
      </c>
      <c r="J43" s="160" t="s">
        <v>93</v>
      </c>
      <c r="K43" s="160">
        <v>1200</v>
      </c>
      <c r="L43" s="160">
        <v>0.2</v>
      </c>
      <c r="M43" s="160" t="s">
        <v>80</v>
      </c>
      <c r="N43" s="160" t="s">
        <v>88</v>
      </c>
      <c r="O43" s="160">
        <v>100</v>
      </c>
      <c r="P43" s="222">
        <v>5.0000000000000044E-3</v>
      </c>
      <c r="Q43" s="222">
        <v>0.04</v>
      </c>
      <c r="R43" s="222">
        <v>7.5999999999999998E-2</v>
      </c>
      <c r="S43" s="222">
        <v>9.9000000000000005E-2</v>
      </c>
      <c r="X43" s="16"/>
    </row>
    <row r="44" spans="1:24" ht="17" customHeight="1">
      <c r="A44" s="160" t="s">
        <v>94</v>
      </c>
      <c r="B44" s="160" t="s">
        <v>89</v>
      </c>
      <c r="C44" s="160" t="s">
        <v>100</v>
      </c>
      <c r="D44" s="160">
        <v>-50.439226072752582</v>
      </c>
      <c r="E44" s="160">
        <v>-21.205476000000004</v>
      </c>
      <c r="F44" s="160">
        <v>2011</v>
      </c>
      <c r="G44" s="160" t="s">
        <v>90</v>
      </c>
      <c r="H44" s="160" t="s">
        <v>177</v>
      </c>
      <c r="I44" s="160" t="s">
        <v>91</v>
      </c>
      <c r="J44" s="160" t="s">
        <v>93</v>
      </c>
      <c r="K44" s="160">
        <v>1200</v>
      </c>
      <c r="L44" s="160">
        <v>0.2</v>
      </c>
      <c r="M44" s="160" t="s">
        <v>80</v>
      </c>
      <c r="N44" s="160" t="s">
        <v>88</v>
      </c>
      <c r="O44" s="223">
        <v>95.2</v>
      </c>
      <c r="P44" s="222">
        <v>1.999999999999999E-2</v>
      </c>
      <c r="Q44" s="222">
        <v>0.1</v>
      </c>
      <c r="R44" s="222">
        <v>0.22</v>
      </c>
      <c r="S44" s="222">
        <v>0.3</v>
      </c>
      <c r="X44" s="16"/>
    </row>
    <row r="45" spans="1:24" ht="17" customHeight="1">
      <c r="A45" s="160" t="s">
        <v>94</v>
      </c>
      <c r="B45" s="160" t="s">
        <v>89</v>
      </c>
      <c r="C45" s="160" t="s">
        <v>102</v>
      </c>
      <c r="D45" s="160">
        <v>-49.083000867090362</v>
      </c>
      <c r="E45" s="160">
        <v>-22.325122500000006</v>
      </c>
      <c r="F45" s="160">
        <v>2011</v>
      </c>
      <c r="G45" s="160" t="s">
        <v>90</v>
      </c>
      <c r="H45" s="160" t="s">
        <v>177</v>
      </c>
      <c r="I45" s="160" t="s">
        <v>91</v>
      </c>
      <c r="J45" s="160" t="s">
        <v>93</v>
      </c>
      <c r="K45" s="160">
        <v>1200</v>
      </c>
      <c r="L45" s="160">
        <v>0.2</v>
      </c>
      <c r="M45" s="160" t="s">
        <v>80</v>
      </c>
      <c r="N45" s="160" t="s">
        <v>88</v>
      </c>
      <c r="O45" s="223">
        <v>96.424999999999997</v>
      </c>
      <c r="P45" s="222">
        <v>9.000000000000008E-3</v>
      </c>
      <c r="Q45" s="222">
        <v>9.4E-2</v>
      </c>
      <c r="R45" s="222">
        <v>0.183</v>
      </c>
      <c r="S45" s="222">
        <v>0.24199999999999999</v>
      </c>
      <c r="X45" s="16"/>
    </row>
    <row r="46" spans="1:24" ht="17" customHeight="1">
      <c r="A46" s="160" t="s">
        <v>94</v>
      </c>
      <c r="B46" s="160" t="s">
        <v>89</v>
      </c>
      <c r="C46" s="160" t="s">
        <v>104</v>
      </c>
      <c r="D46" s="160">
        <v>-47.06015627297316</v>
      </c>
      <c r="E46" s="160">
        <v>-22.907342500000002</v>
      </c>
      <c r="F46" s="160">
        <v>2011</v>
      </c>
      <c r="G46" s="160" t="s">
        <v>90</v>
      </c>
      <c r="H46" s="160" t="s">
        <v>177</v>
      </c>
      <c r="I46" s="160" t="s">
        <v>91</v>
      </c>
      <c r="J46" s="160" t="s">
        <v>93</v>
      </c>
      <c r="K46" s="160">
        <v>900</v>
      </c>
      <c r="L46" s="160">
        <v>0.2</v>
      </c>
      <c r="M46" s="160" t="s">
        <v>80</v>
      </c>
      <c r="N46" s="160" t="s">
        <v>88</v>
      </c>
      <c r="O46" s="223">
        <v>99.7</v>
      </c>
      <c r="P46" s="222">
        <v>2.0000000000000004E-2</v>
      </c>
      <c r="Q46" s="222">
        <v>0.06</v>
      </c>
      <c r="R46" s="222">
        <v>0.13</v>
      </c>
      <c r="S46" s="222">
        <v>0.17</v>
      </c>
      <c r="X46" s="16"/>
    </row>
    <row r="47" spans="1:24" ht="17" customHeight="1">
      <c r="A47" s="160" t="s">
        <v>94</v>
      </c>
      <c r="B47" s="160" t="s">
        <v>89</v>
      </c>
      <c r="C47" s="160" t="s">
        <v>107</v>
      </c>
      <c r="D47" s="160">
        <v>-49.951645643103269</v>
      </c>
      <c r="E47" s="160">
        <v>-22.214933000000002</v>
      </c>
      <c r="F47" s="160">
        <v>2011</v>
      </c>
      <c r="G47" s="160" t="s">
        <v>90</v>
      </c>
      <c r="H47" s="160" t="s">
        <v>177</v>
      </c>
      <c r="I47" s="160" t="s">
        <v>91</v>
      </c>
      <c r="J47" s="160" t="s">
        <v>93</v>
      </c>
      <c r="K47" s="160">
        <v>300</v>
      </c>
      <c r="L47" s="160">
        <v>0.2</v>
      </c>
      <c r="M47" s="160" t="s">
        <v>80</v>
      </c>
      <c r="N47" s="160" t="s">
        <v>88</v>
      </c>
      <c r="O47" s="223">
        <v>98.6</v>
      </c>
      <c r="P47" s="222">
        <v>1.0000000000000009E-2</v>
      </c>
      <c r="Q47" s="222">
        <v>9.0999999999999998E-2</v>
      </c>
      <c r="R47" s="222">
        <v>0.16500000000000001</v>
      </c>
      <c r="S47" s="222">
        <v>0.21099999999999999</v>
      </c>
      <c r="X47" s="16"/>
    </row>
    <row r="48" spans="1:24" ht="17" customHeight="1">
      <c r="A48" s="160" t="s">
        <v>94</v>
      </c>
      <c r="B48" s="160" t="s">
        <v>89</v>
      </c>
      <c r="C48" s="160" t="s">
        <v>95</v>
      </c>
      <c r="D48" s="160">
        <v>-46.570383182112749</v>
      </c>
      <c r="E48" s="160">
        <v>-23.567386500000001</v>
      </c>
      <c r="F48" s="160">
        <v>2011</v>
      </c>
      <c r="G48" s="160" t="s">
        <v>90</v>
      </c>
      <c r="H48" s="160" t="s">
        <v>177</v>
      </c>
      <c r="I48" s="160" t="s">
        <v>91</v>
      </c>
      <c r="J48" s="160" t="s">
        <v>93</v>
      </c>
      <c r="K48" s="160">
        <v>600</v>
      </c>
      <c r="L48" s="160">
        <v>0.2</v>
      </c>
      <c r="M48" s="160" t="s">
        <v>80</v>
      </c>
      <c r="N48" s="160" t="s">
        <v>88</v>
      </c>
      <c r="O48" s="226">
        <v>100</v>
      </c>
      <c r="P48" s="222">
        <v>9.999999999999995E-3</v>
      </c>
      <c r="Q48" s="222">
        <v>7.0999999999999994E-2</v>
      </c>
      <c r="R48" s="222">
        <v>0.11</v>
      </c>
      <c r="S48" s="222">
        <v>0.13</v>
      </c>
      <c r="X48" s="16"/>
    </row>
    <row r="49" spans="1:24" ht="17" customHeight="1">
      <c r="A49" s="160" t="s">
        <v>94</v>
      </c>
      <c r="B49" s="160" t="s">
        <v>89</v>
      </c>
      <c r="C49" s="160" t="s">
        <v>108</v>
      </c>
      <c r="D49" s="160">
        <v>-51.386765581912492</v>
      </c>
      <c r="E49" s="160">
        <v>-22.122743500000002</v>
      </c>
      <c r="F49" s="160">
        <v>2011</v>
      </c>
      <c r="G49" s="160" t="s">
        <v>90</v>
      </c>
      <c r="H49" s="160" t="s">
        <v>177</v>
      </c>
      <c r="I49" s="160" t="s">
        <v>91</v>
      </c>
      <c r="J49" s="160" t="s">
        <v>93</v>
      </c>
      <c r="K49" s="160">
        <v>600</v>
      </c>
      <c r="L49" s="160">
        <v>0.2</v>
      </c>
      <c r="M49" s="160" t="s">
        <v>80</v>
      </c>
      <c r="N49" s="160" t="s">
        <v>88</v>
      </c>
      <c r="O49" s="226">
        <v>100</v>
      </c>
      <c r="P49" s="222">
        <v>9.9999999999999811E-3</v>
      </c>
      <c r="Q49" s="222">
        <v>7.0999999999999994E-2</v>
      </c>
      <c r="R49" s="222">
        <v>0.15</v>
      </c>
      <c r="S49" s="222">
        <v>0.21</v>
      </c>
      <c r="X49" s="16"/>
    </row>
    <row r="50" spans="1:24" ht="17" customHeight="1">
      <c r="A50" s="160" t="s">
        <v>94</v>
      </c>
      <c r="B50" s="160" t="s">
        <v>89</v>
      </c>
      <c r="C50" s="160" t="s">
        <v>109</v>
      </c>
      <c r="D50" s="160">
        <v>-47.805475915541528</v>
      </c>
      <c r="E50" s="160">
        <v>-21.184834500000004</v>
      </c>
      <c r="F50" s="160">
        <v>2011</v>
      </c>
      <c r="G50" s="160" t="s">
        <v>90</v>
      </c>
      <c r="H50" s="160" t="s">
        <v>177</v>
      </c>
      <c r="I50" s="160" t="s">
        <v>91</v>
      </c>
      <c r="J50" s="160" t="s">
        <v>93</v>
      </c>
      <c r="K50" s="160">
        <v>600</v>
      </c>
      <c r="L50" s="160">
        <v>0.2</v>
      </c>
      <c r="M50" s="160" t="s">
        <v>80</v>
      </c>
      <c r="N50" s="160" t="s">
        <v>88</v>
      </c>
      <c r="O50" s="223">
        <v>96.3</v>
      </c>
      <c r="P50" s="222">
        <v>1.0000000000000009E-2</v>
      </c>
      <c r="Q50" s="222">
        <v>9.8000000000000004E-2</v>
      </c>
      <c r="R50" s="222">
        <v>0.19</v>
      </c>
      <c r="S50" s="222">
        <v>0.26</v>
      </c>
      <c r="X50" s="16"/>
    </row>
    <row r="51" spans="1:24" ht="17" customHeight="1">
      <c r="A51" s="160" t="s">
        <v>94</v>
      </c>
      <c r="B51" s="160" t="s">
        <v>89</v>
      </c>
      <c r="C51" s="160" t="s">
        <v>110</v>
      </c>
      <c r="D51" s="160">
        <v>-46.331370849190684</v>
      </c>
      <c r="E51" s="160">
        <v>-23.933737500000003</v>
      </c>
      <c r="F51" s="160">
        <v>2011</v>
      </c>
      <c r="G51" s="160" t="s">
        <v>90</v>
      </c>
      <c r="H51" s="160" t="s">
        <v>177</v>
      </c>
      <c r="I51" s="160" t="s">
        <v>91</v>
      </c>
      <c r="J51" s="160" t="s">
        <v>93</v>
      </c>
      <c r="K51" s="160">
        <v>300</v>
      </c>
      <c r="L51" s="160">
        <v>0.2</v>
      </c>
      <c r="M51" s="160" t="s">
        <v>80</v>
      </c>
      <c r="N51" s="160" t="s">
        <v>88</v>
      </c>
      <c r="O51" s="223">
        <v>96.5</v>
      </c>
      <c r="P51" s="222">
        <v>7.0000000000000062E-3</v>
      </c>
      <c r="Q51" s="222">
        <v>8.4000000000000005E-2</v>
      </c>
      <c r="R51" s="222">
        <v>0.15</v>
      </c>
      <c r="S51" s="222">
        <v>0.19</v>
      </c>
    </row>
    <row r="52" spans="1:24" ht="17" customHeight="1">
      <c r="A52" s="160" t="s">
        <v>94</v>
      </c>
      <c r="B52" s="160" t="s">
        <v>89</v>
      </c>
      <c r="C52" s="160" t="s">
        <v>113</v>
      </c>
      <c r="D52" s="160">
        <v>-45.402680140543957</v>
      </c>
      <c r="E52" s="160">
        <v>-23.806687652148753</v>
      </c>
      <c r="F52" s="160">
        <v>2011</v>
      </c>
      <c r="G52" s="160" t="s">
        <v>90</v>
      </c>
      <c r="H52" s="160" t="s">
        <v>177</v>
      </c>
      <c r="I52" s="160" t="s">
        <v>91</v>
      </c>
      <c r="J52" s="160" t="s">
        <v>93</v>
      </c>
      <c r="K52" s="160">
        <v>900</v>
      </c>
      <c r="L52" s="160">
        <v>0.2</v>
      </c>
      <c r="M52" s="160" t="s">
        <v>80</v>
      </c>
      <c r="N52" s="160" t="s">
        <v>88</v>
      </c>
      <c r="O52" s="223">
        <v>90.833333333333329</v>
      </c>
      <c r="P52" s="222">
        <v>1.0000000000000009E-2</v>
      </c>
      <c r="Q52" s="222">
        <v>0.11</v>
      </c>
      <c r="R52" s="222">
        <v>0.22</v>
      </c>
      <c r="S52" s="222">
        <v>0.3</v>
      </c>
    </row>
    <row r="53" spans="1:24" ht="17" customHeight="1">
      <c r="A53" s="160" t="s">
        <v>94</v>
      </c>
      <c r="B53" s="160" t="s">
        <v>89</v>
      </c>
      <c r="C53" s="160" t="s">
        <v>114</v>
      </c>
      <c r="D53" s="160">
        <v>-47.457853253204043</v>
      </c>
      <c r="E53" s="160">
        <v>-23.499323</v>
      </c>
      <c r="F53" s="160">
        <v>2011</v>
      </c>
      <c r="G53" s="160" t="s">
        <v>90</v>
      </c>
      <c r="H53" s="160" t="s">
        <v>177</v>
      </c>
      <c r="I53" s="160" t="s">
        <v>91</v>
      </c>
      <c r="J53" s="160" t="s">
        <v>93</v>
      </c>
      <c r="K53" s="160">
        <v>900</v>
      </c>
      <c r="L53" s="160">
        <v>0.2</v>
      </c>
      <c r="M53" s="160" t="s">
        <v>80</v>
      </c>
      <c r="N53" s="160" t="s">
        <v>88</v>
      </c>
      <c r="O53" s="223">
        <v>99.3</v>
      </c>
      <c r="P53" s="222">
        <v>1.0000000000000009E-2</v>
      </c>
      <c r="Q53" s="222">
        <v>8.7999999999999995E-2</v>
      </c>
      <c r="R53" s="222">
        <v>0.16</v>
      </c>
      <c r="S53" s="222">
        <v>0.21</v>
      </c>
    </row>
    <row r="54" spans="1:24" ht="17" customHeight="1">
      <c r="A54" s="160" t="s">
        <v>94</v>
      </c>
      <c r="B54" s="160" t="s">
        <v>89</v>
      </c>
      <c r="C54" s="160" t="s">
        <v>129</v>
      </c>
      <c r="D54" s="160">
        <v>-58.117939347991616</v>
      </c>
      <c r="E54" s="160">
        <v>-15.235682810143553</v>
      </c>
      <c r="F54" s="160">
        <v>2011</v>
      </c>
      <c r="G54" s="160" t="s">
        <v>90</v>
      </c>
      <c r="H54" s="160" t="s">
        <v>177</v>
      </c>
      <c r="I54" s="160" t="s">
        <v>91</v>
      </c>
      <c r="J54" s="160" t="s">
        <v>93</v>
      </c>
      <c r="K54" s="160">
        <v>900</v>
      </c>
      <c r="L54" s="160">
        <v>0.2</v>
      </c>
      <c r="M54" s="160" t="s">
        <v>80</v>
      </c>
      <c r="N54" s="160" t="s">
        <v>88</v>
      </c>
      <c r="O54" s="223">
        <v>99.600000000000009</v>
      </c>
      <c r="P54" s="222">
        <v>1.1999999999999997E-2</v>
      </c>
      <c r="Q54" s="222">
        <v>4.2999999999999997E-2</v>
      </c>
      <c r="R54" s="222">
        <v>0.107</v>
      </c>
      <c r="S54" s="222">
        <v>0.16</v>
      </c>
    </row>
    <row r="55" spans="1:24" ht="17" customHeight="1">
      <c r="A55" s="160" t="s">
        <v>94</v>
      </c>
      <c r="B55" s="160" t="s">
        <v>89</v>
      </c>
      <c r="C55" s="160" t="s">
        <v>119</v>
      </c>
      <c r="D55" s="160">
        <v>-60.023335181061036</v>
      </c>
      <c r="E55" s="160">
        <v>-3.1346914912019459</v>
      </c>
      <c r="F55" s="160">
        <v>2011</v>
      </c>
      <c r="G55" s="160" t="s">
        <v>90</v>
      </c>
      <c r="H55" s="160" t="s">
        <v>177</v>
      </c>
      <c r="I55" s="160" t="s">
        <v>91</v>
      </c>
      <c r="J55" s="160" t="s">
        <v>93</v>
      </c>
      <c r="K55" s="160">
        <v>600</v>
      </c>
      <c r="L55" s="160">
        <v>0.2</v>
      </c>
      <c r="M55" s="160" t="s">
        <v>80</v>
      </c>
      <c r="N55" s="160" t="s">
        <v>88</v>
      </c>
      <c r="O55" s="223">
        <v>99.3</v>
      </c>
      <c r="P55" s="222">
        <v>1.0000000000000009E-2</v>
      </c>
      <c r="Q55" s="222">
        <v>7.4999999999999997E-2</v>
      </c>
      <c r="R55" s="222">
        <v>0.14000000000000001</v>
      </c>
      <c r="S55" s="222">
        <v>0.18</v>
      </c>
    </row>
    <row r="56" spans="1:24" ht="17" customHeight="1">
      <c r="A56" s="160" t="s">
        <v>94</v>
      </c>
      <c r="B56" s="160" t="s">
        <v>89</v>
      </c>
      <c r="C56" s="160" t="s">
        <v>123</v>
      </c>
      <c r="D56" s="160">
        <v>-38.488061484007851</v>
      </c>
      <c r="E56" s="160">
        <v>-13.014771911532753</v>
      </c>
      <c r="F56" s="160">
        <v>2011</v>
      </c>
      <c r="G56" s="160" t="s">
        <v>90</v>
      </c>
      <c r="H56" s="160" t="s">
        <v>177</v>
      </c>
      <c r="I56" s="160" t="s">
        <v>91</v>
      </c>
      <c r="J56" s="160" t="s">
        <v>93</v>
      </c>
      <c r="K56" s="160">
        <v>1200</v>
      </c>
      <c r="L56" s="160">
        <v>0.2</v>
      </c>
      <c r="M56" s="160" t="s">
        <v>80</v>
      </c>
      <c r="N56" s="160" t="s">
        <v>88</v>
      </c>
      <c r="O56" s="223">
        <v>98</v>
      </c>
      <c r="P56" s="222">
        <v>2.0000000000000018E-2</v>
      </c>
      <c r="Q56" s="222">
        <v>6.0999999999999999E-2</v>
      </c>
      <c r="R56" s="222">
        <v>0.17</v>
      </c>
      <c r="S56" s="222">
        <v>0.25</v>
      </c>
    </row>
    <row r="57" spans="1:24" ht="17" customHeight="1">
      <c r="A57" s="160" t="s">
        <v>94</v>
      </c>
      <c r="B57" s="160" t="s">
        <v>89</v>
      </c>
      <c r="C57" s="160" t="s">
        <v>161</v>
      </c>
      <c r="D57" s="160">
        <v>-51.710000628794234</v>
      </c>
      <c r="E57" s="160">
        <v>-20.788679161391403</v>
      </c>
      <c r="F57" s="160">
        <v>2011</v>
      </c>
      <c r="G57" s="160" t="s">
        <v>90</v>
      </c>
      <c r="H57" s="160" t="s">
        <v>177</v>
      </c>
      <c r="I57" s="160" t="s">
        <v>91</v>
      </c>
      <c r="J57" s="160" t="s">
        <v>93</v>
      </c>
      <c r="K57" s="160">
        <v>900</v>
      </c>
      <c r="L57" s="160">
        <v>0.2</v>
      </c>
      <c r="M57" s="160" t="s">
        <v>80</v>
      </c>
      <c r="N57" s="160" t="s">
        <v>88</v>
      </c>
      <c r="O57" s="223">
        <v>96.7</v>
      </c>
      <c r="P57" s="222">
        <v>1.3000000000000012E-2</v>
      </c>
      <c r="Q57" s="222">
        <v>8.7999999999999995E-2</v>
      </c>
      <c r="R57" s="222">
        <v>0.191</v>
      </c>
      <c r="S57" s="222">
        <v>0.26400000000000001</v>
      </c>
    </row>
    <row r="58" spans="1:24" ht="17" customHeight="1" thickBot="1">
      <c r="A58" s="215" t="s">
        <v>94</v>
      </c>
      <c r="B58" s="215" t="s">
        <v>89</v>
      </c>
      <c r="C58" s="215" t="s">
        <v>162</v>
      </c>
      <c r="D58" s="215">
        <v>-55.710850177863747</v>
      </c>
      <c r="E58" s="215">
        <v>-22.486187078760256</v>
      </c>
      <c r="F58" s="215">
        <v>2011</v>
      </c>
      <c r="G58" s="215" t="s">
        <v>90</v>
      </c>
      <c r="H58" s="215" t="s">
        <v>177</v>
      </c>
      <c r="I58" s="215" t="s">
        <v>91</v>
      </c>
      <c r="J58" s="215" t="s">
        <v>93</v>
      </c>
      <c r="K58" s="215">
        <v>900</v>
      </c>
      <c r="L58" s="215">
        <v>0.2</v>
      </c>
      <c r="M58" s="215" t="s">
        <v>80</v>
      </c>
      <c r="N58" s="215" t="s">
        <v>88</v>
      </c>
      <c r="O58" s="224">
        <v>99.133333333333326</v>
      </c>
      <c r="P58" s="225">
        <v>9.9999999999999811E-3</v>
      </c>
      <c r="Q58" s="225">
        <v>7.5999999999999998E-2</v>
      </c>
      <c r="R58" s="225">
        <v>0.15</v>
      </c>
      <c r="S58" s="225">
        <v>0.2</v>
      </c>
    </row>
    <row r="59" spans="1:24" ht="17" customHeight="1">
      <c r="A59" s="160" t="s">
        <v>94</v>
      </c>
      <c r="B59" s="160" t="s">
        <v>89</v>
      </c>
      <c r="C59" s="219" t="s">
        <v>124</v>
      </c>
      <c r="D59" s="261"/>
      <c r="E59" s="262"/>
      <c r="F59" s="160">
        <v>2011</v>
      </c>
      <c r="G59" s="160" t="s">
        <v>90</v>
      </c>
      <c r="H59" s="160" t="s">
        <v>188</v>
      </c>
      <c r="I59" s="160" t="s">
        <v>91</v>
      </c>
      <c r="J59" s="160" t="s">
        <v>20</v>
      </c>
      <c r="K59" s="160">
        <v>600</v>
      </c>
      <c r="L59" s="223">
        <v>73</v>
      </c>
      <c r="M59" s="217" t="s">
        <v>19</v>
      </c>
      <c r="N59" s="160" t="s">
        <v>88</v>
      </c>
      <c r="O59" s="160">
        <v>100</v>
      </c>
      <c r="P59" s="223">
        <v>0</v>
      </c>
    </row>
    <row r="60" spans="1:24" ht="17" customHeight="1">
      <c r="A60" s="160" t="s">
        <v>94</v>
      </c>
      <c r="B60" s="160" t="s">
        <v>89</v>
      </c>
      <c r="C60" s="160" t="s">
        <v>100</v>
      </c>
      <c r="D60" s="160">
        <v>-50.439226072752582</v>
      </c>
      <c r="E60" s="160">
        <v>-21.205476000000004</v>
      </c>
      <c r="F60" s="160">
        <v>2011</v>
      </c>
      <c r="G60" s="160" t="s">
        <v>90</v>
      </c>
      <c r="H60" s="160" t="s">
        <v>188</v>
      </c>
      <c r="I60" s="160" t="s">
        <v>91</v>
      </c>
      <c r="J60" s="160" t="s">
        <v>20</v>
      </c>
      <c r="K60" s="160">
        <v>450</v>
      </c>
      <c r="L60" s="223">
        <v>146</v>
      </c>
      <c r="M60" s="217" t="s">
        <v>19</v>
      </c>
      <c r="N60" s="160" t="s">
        <v>88</v>
      </c>
      <c r="O60" s="223">
        <v>75.000000000000014</v>
      </c>
      <c r="P60" s="223">
        <v>20.013245613842866</v>
      </c>
    </row>
    <row r="61" spans="1:24" ht="17" customHeight="1">
      <c r="A61" s="160" t="s">
        <v>94</v>
      </c>
      <c r="B61" s="160" t="s">
        <v>89</v>
      </c>
      <c r="C61" s="160" t="s">
        <v>102</v>
      </c>
      <c r="D61" s="160">
        <v>-49.083000867090362</v>
      </c>
      <c r="E61" s="160">
        <v>-22.325122500000006</v>
      </c>
      <c r="F61" s="160">
        <v>2011</v>
      </c>
      <c r="G61" s="160" t="s">
        <v>90</v>
      </c>
      <c r="H61" s="160" t="s">
        <v>188</v>
      </c>
      <c r="I61" s="160" t="s">
        <v>91</v>
      </c>
      <c r="J61" s="160" t="s">
        <v>20</v>
      </c>
      <c r="K61" s="160">
        <v>600</v>
      </c>
      <c r="L61" s="223">
        <v>146</v>
      </c>
      <c r="M61" s="217" t="s">
        <v>19</v>
      </c>
      <c r="N61" s="160" t="s">
        <v>88</v>
      </c>
      <c r="O61" s="223">
        <v>71.3</v>
      </c>
      <c r="P61" s="223">
        <v>8.6421447955161632</v>
      </c>
    </row>
    <row r="62" spans="1:24" ht="17" customHeight="1">
      <c r="A62" s="160" t="s">
        <v>94</v>
      </c>
      <c r="B62" s="160" t="s">
        <v>89</v>
      </c>
      <c r="C62" s="160" t="s">
        <v>104</v>
      </c>
      <c r="D62" s="160">
        <v>-47.06015627297316</v>
      </c>
      <c r="E62" s="160">
        <v>-22.907342500000002</v>
      </c>
      <c r="F62" s="160">
        <v>2011</v>
      </c>
      <c r="G62" s="160" t="s">
        <v>90</v>
      </c>
      <c r="H62" s="160" t="s">
        <v>188</v>
      </c>
      <c r="I62" s="160" t="s">
        <v>91</v>
      </c>
      <c r="J62" s="160" t="s">
        <v>20</v>
      </c>
      <c r="K62" s="160">
        <v>600</v>
      </c>
      <c r="L62" s="223">
        <v>146</v>
      </c>
      <c r="M62" s="217" t="s">
        <v>19</v>
      </c>
      <c r="N62" s="160" t="s">
        <v>88</v>
      </c>
      <c r="O62" s="223">
        <v>77.599999999999994</v>
      </c>
      <c r="P62" s="223">
        <v>5.9200225224796785</v>
      </c>
    </row>
    <row r="63" spans="1:24" ht="17" customHeight="1">
      <c r="A63" s="160" t="s">
        <v>94</v>
      </c>
      <c r="B63" s="160" t="s">
        <v>89</v>
      </c>
      <c r="C63" s="160" t="s">
        <v>107</v>
      </c>
      <c r="D63" s="160">
        <v>-49.951645643103269</v>
      </c>
      <c r="E63" s="160">
        <v>-22.214933000000002</v>
      </c>
      <c r="F63" s="160">
        <v>2011</v>
      </c>
      <c r="G63" s="160" t="s">
        <v>90</v>
      </c>
      <c r="H63" s="160" t="s">
        <v>188</v>
      </c>
      <c r="I63" s="160" t="s">
        <v>91</v>
      </c>
      <c r="J63" s="160" t="s">
        <v>20</v>
      </c>
      <c r="K63" s="160">
        <v>600</v>
      </c>
      <c r="L63" s="223">
        <v>146</v>
      </c>
      <c r="M63" s="217" t="s">
        <v>19</v>
      </c>
      <c r="N63" s="160" t="s">
        <v>88</v>
      </c>
      <c r="O63" s="223">
        <v>86.675000000000011</v>
      </c>
      <c r="P63" s="223">
        <v>7.7749062159402733</v>
      </c>
    </row>
    <row r="64" spans="1:24" ht="17" customHeight="1">
      <c r="A64" s="160" t="s">
        <v>94</v>
      </c>
      <c r="B64" s="160" t="s">
        <v>89</v>
      </c>
      <c r="C64" s="160" t="s">
        <v>95</v>
      </c>
      <c r="D64" s="160">
        <v>-46.570383182112749</v>
      </c>
      <c r="E64" s="160">
        <v>-23.567386500000001</v>
      </c>
      <c r="F64" s="160">
        <v>2011</v>
      </c>
      <c r="G64" s="160" t="s">
        <v>90</v>
      </c>
      <c r="H64" s="160" t="s">
        <v>188</v>
      </c>
      <c r="I64" s="160" t="s">
        <v>91</v>
      </c>
      <c r="J64" s="160" t="s">
        <v>20</v>
      </c>
      <c r="K64" s="160">
        <v>600</v>
      </c>
      <c r="L64" s="223">
        <v>146</v>
      </c>
      <c r="M64" s="217" t="s">
        <v>19</v>
      </c>
      <c r="N64" s="160" t="s">
        <v>88</v>
      </c>
      <c r="O64" s="223">
        <v>69.899999999999991</v>
      </c>
      <c r="P64" s="223">
        <v>16.169930941926385</v>
      </c>
    </row>
    <row r="65" spans="1:20" ht="17" customHeight="1">
      <c r="A65" s="160" t="s">
        <v>94</v>
      </c>
      <c r="B65" s="160" t="s">
        <v>89</v>
      </c>
      <c r="C65" s="160" t="s">
        <v>108</v>
      </c>
      <c r="D65" s="160">
        <v>-51.386765581912492</v>
      </c>
      <c r="E65" s="160">
        <v>-22.122743500000002</v>
      </c>
      <c r="F65" s="160">
        <v>2011</v>
      </c>
      <c r="G65" s="160" t="s">
        <v>90</v>
      </c>
      <c r="H65" s="160" t="s">
        <v>188</v>
      </c>
      <c r="I65" s="160" t="s">
        <v>91</v>
      </c>
      <c r="J65" s="160" t="s">
        <v>20</v>
      </c>
      <c r="K65" s="160">
        <v>750</v>
      </c>
      <c r="L65" s="223">
        <v>146</v>
      </c>
      <c r="M65" s="217" t="s">
        <v>19</v>
      </c>
      <c r="N65" s="160" t="s">
        <v>88</v>
      </c>
      <c r="O65" s="223">
        <v>62.339999999999996</v>
      </c>
      <c r="P65" s="223">
        <v>22.638418672690008</v>
      </c>
    </row>
    <row r="66" spans="1:20" ht="17" customHeight="1">
      <c r="A66" s="160" t="s">
        <v>94</v>
      </c>
      <c r="B66" s="160" t="s">
        <v>89</v>
      </c>
      <c r="C66" s="160" t="s">
        <v>109</v>
      </c>
      <c r="D66" s="160">
        <v>-47.805475915541528</v>
      </c>
      <c r="E66" s="160">
        <v>-21.184834500000004</v>
      </c>
      <c r="F66" s="160">
        <v>2011</v>
      </c>
      <c r="G66" s="160" t="s">
        <v>90</v>
      </c>
      <c r="H66" s="160" t="s">
        <v>188</v>
      </c>
      <c r="I66" s="160" t="s">
        <v>91</v>
      </c>
      <c r="J66" s="160" t="s">
        <v>20</v>
      </c>
      <c r="K66" s="160">
        <v>600</v>
      </c>
      <c r="L66" s="223">
        <v>146</v>
      </c>
      <c r="M66" s="217" t="s">
        <v>19</v>
      </c>
      <c r="N66" s="160" t="s">
        <v>88</v>
      </c>
      <c r="O66" s="223">
        <v>68.099999999999994</v>
      </c>
      <c r="P66" s="223">
        <v>14.077641847980134</v>
      </c>
    </row>
    <row r="67" spans="1:20" ht="17" customHeight="1">
      <c r="A67" s="160" t="s">
        <v>94</v>
      </c>
      <c r="B67" s="160" t="s">
        <v>89</v>
      </c>
      <c r="C67" s="160" t="s">
        <v>110</v>
      </c>
      <c r="D67" s="160">
        <v>-46.331370849190684</v>
      </c>
      <c r="E67" s="160">
        <v>-23.933737500000003</v>
      </c>
      <c r="F67" s="160">
        <v>2011</v>
      </c>
      <c r="G67" s="160" t="s">
        <v>90</v>
      </c>
      <c r="H67" s="160" t="s">
        <v>188</v>
      </c>
      <c r="I67" s="160" t="s">
        <v>91</v>
      </c>
      <c r="J67" s="160" t="s">
        <v>20</v>
      </c>
      <c r="K67" s="160">
        <v>600</v>
      </c>
      <c r="L67" s="223">
        <v>146</v>
      </c>
      <c r="M67" s="217" t="s">
        <v>19</v>
      </c>
      <c r="N67" s="160" t="s">
        <v>88</v>
      </c>
      <c r="O67" s="223">
        <v>74.300000000000011</v>
      </c>
      <c r="P67" s="223">
        <v>11.834131428485373</v>
      </c>
      <c r="Q67" s="160" t="s">
        <v>99</v>
      </c>
    </row>
    <row r="68" spans="1:20" ht="17" customHeight="1">
      <c r="A68" s="160" t="s">
        <v>94</v>
      </c>
      <c r="B68" s="160" t="s">
        <v>89</v>
      </c>
      <c r="C68" s="160" t="s">
        <v>113</v>
      </c>
      <c r="D68" s="160">
        <v>-45.402680140543957</v>
      </c>
      <c r="E68" s="160">
        <v>-23.806687652148753</v>
      </c>
      <c r="F68" s="160">
        <v>2011</v>
      </c>
      <c r="G68" s="160" t="s">
        <v>90</v>
      </c>
      <c r="H68" s="160" t="s">
        <v>188</v>
      </c>
      <c r="I68" s="160" t="s">
        <v>91</v>
      </c>
      <c r="J68" s="160" t="s">
        <v>20</v>
      </c>
      <c r="K68" s="160">
        <v>600</v>
      </c>
      <c r="L68" s="223">
        <v>146</v>
      </c>
      <c r="M68" s="217" t="s">
        <v>19</v>
      </c>
      <c r="N68" s="160" t="s">
        <v>88</v>
      </c>
      <c r="O68" s="223">
        <v>67.600000000000009</v>
      </c>
      <c r="P68" s="223">
        <v>18.331575673320209</v>
      </c>
      <c r="T68" s="150"/>
    </row>
    <row r="69" spans="1:20" ht="17" customHeight="1">
      <c r="A69" s="160" t="s">
        <v>94</v>
      </c>
      <c r="B69" s="160" t="s">
        <v>89</v>
      </c>
      <c r="C69" s="160" t="s">
        <v>114</v>
      </c>
      <c r="D69" s="160">
        <v>-47.457853253204043</v>
      </c>
      <c r="E69" s="160">
        <v>-23.499323</v>
      </c>
      <c r="F69" s="160">
        <v>2011</v>
      </c>
      <c r="G69" s="160" t="s">
        <v>90</v>
      </c>
      <c r="H69" s="160" t="s">
        <v>188</v>
      </c>
      <c r="I69" s="160" t="s">
        <v>91</v>
      </c>
      <c r="J69" s="160" t="s">
        <v>20</v>
      </c>
      <c r="K69" s="160">
        <v>600</v>
      </c>
      <c r="L69" s="223">
        <v>146</v>
      </c>
      <c r="M69" s="217" t="s">
        <v>19</v>
      </c>
      <c r="N69" s="160" t="s">
        <v>88</v>
      </c>
      <c r="O69" s="223">
        <v>74.349999999999994</v>
      </c>
      <c r="P69" s="223">
        <v>74.349999999999994</v>
      </c>
    </row>
    <row r="70" spans="1:20" ht="17" customHeight="1">
      <c r="A70" s="160" t="s">
        <v>94</v>
      </c>
      <c r="B70" s="160" t="s">
        <v>89</v>
      </c>
      <c r="C70" s="160" t="s">
        <v>129</v>
      </c>
      <c r="D70" s="160">
        <v>-58.117939347991616</v>
      </c>
      <c r="E70" s="160">
        <v>-15.235682810143553</v>
      </c>
      <c r="F70" s="160">
        <v>2011</v>
      </c>
      <c r="G70" s="160" t="s">
        <v>90</v>
      </c>
      <c r="H70" s="160" t="s">
        <v>188</v>
      </c>
      <c r="I70" s="160" t="s">
        <v>91</v>
      </c>
      <c r="J70" s="160" t="s">
        <v>20</v>
      </c>
      <c r="K70" s="160">
        <v>600</v>
      </c>
      <c r="L70" s="223">
        <v>146</v>
      </c>
      <c r="M70" s="217" t="s">
        <v>19</v>
      </c>
      <c r="N70" s="160" t="s">
        <v>88</v>
      </c>
      <c r="O70" s="223">
        <v>97.1</v>
      </c>
      <c r="P70" s="223">
        <v>3.8218669085496257</v>
      </c>
    </row>
    <row r="71" spans="1:20" ht="17" customHeight="1">
      <c r="A71" s="160" t="s">
        <v>94</v>
      </c>
      <c r="B71" s="160" t="s">
        <v>89</v>
      </c>
      <c r="C71" s="160" t="s">
        <v>123</v>
      </c>
      <c r="D71" s="160">
        <v>-38.488061484007851</v>
      </c>
      <c r="E71" s="160">
        <v>-13.014771911532753</v>
      </c>
      <c r="F71" s="160">
        <v>2011</v>
      </c>
      <c r="G71" s="160" t="s">
        <v>90</v>
      </c>
      <c r="H71" s="160" t="s">
        <v>188</v>
      </c>
      <c r="I71" s="160" t="s">
        <v>91</v>
      </c>
      <c r="J71" s="160" t="s">
        <v>20</v>
      </c>
      <c r="K71" s="160">
        <v>600</v>
      </c>
      <c r="L71" s="223">
        <v>146</v>
      </c>
      <c r="M71" s="217" t="s">
        <v>19</v>
      </c>
      <c r="N71" s="160" t="s">
        <v>88</v>
      </c>
      <c r="O71" s="223">
        <v>87.5</v>
      </c>
      <c r="P71" s="223">
        <v>3.2321303604073028</v>
      </c>
    </row>
    <row r="72" spans="1:20" ht="17" customHeight="1">
      <c r="A72" s="160" t="s">
        <v>94</v>
      </c>
      <c r="B72" s="160" t="s">
        <v>89</v>
      </c>
      <c r="C72" s="160" t="s">
        <v>158</v>
      </c>
      <c r="D72" s="160">
        <v>-36.790840052134712</v>
      </c>
      <c r="E72" s="160">
        <v>-9.9569226033201854</v>
      </c>
      <c r="F72" s="160">
        <v>2011</v>
      </c>
      <c r="G72" s="160" t="s">
        <v>90</v>
      </c>
      <c r="H72" s="160" t="s">
        <v>188</v>
      </c>
      <c r="I72" s="160" t="s">
        <v>91</v>
      </c>
      <c r="J72" s="160" t="s">
        <v>20</v>
      </c>
      <c r="K72" s="160">
        <v>600</v>
      </c>
      <c r="L72" s="223">
        <v>146</v>
      </c>
      <c r="M72" s="217" t="s">
        <v>19</v>
      </c>
      <c r="N72" s="160" t="s">
        <v>88</v>
      </c>
      <c r="O72" s="223">
        <v>68.375</v>
      </c>
      <c r="P72" s="223">
        <v>7.0679440669358247</v>
      </c>
    </row>
    <row r="73" spans="1:20" ht="17" customHeight="1">
      <c r="A73" s="160" t="s">
        <v>94</v>
      </c>
      <c r="B73" s="160" t="s">
        <v>89</v>
      </c>
      <c r="C73" s="160" t="s">
        <v>160</v>
      </c>
      <c r="D73" s="160">
        <v>-54.811289122892603</v>
      </c>
      <c r="E73" s="160">
        <v>-22.227235536898849</v>
      </c>
      <c r="F73" s="160">
        <v>2011</v>
      </c>
      <c r="G73" s="160" t="s">
        <v>90</v>
      </c>
      <c r="H73" s="160" t="s">
        <v>188</v>
      </c>
      <c r="I73" s="160" t="s">
        <v>91</v>
      </c>
      <c r="J73" s="160" t="s">
        <v>20</v>
      </c>
      <c r="K73" s="160">
        <v>750</v>
      </c>
      <c r="L73" s="223">
        <v>146</v>
      </c>
      <c r="M73" s="217" t="s">
        <v>19</v>
      </c>
      <c r="N73" s="160" t="s">
        <v>88</v>
      </c>
      <c r="O73" s="223">
        <v>79.240000000000009</v>
      </c>
      <c r="P73" s="223">
        <v>10.871890360006327</v>
      </c>
    </row>
    <row r="74" spans="1:20" ht="17" customHeight="1">
      <c r="A74" s="160" t="s">
        <v>94</v>
      </c>
      <c r="B74" s="160" t="s">
        <v>89</v>
      </c>
      <c r="C74" s="160" t="s">
        <v>162</v>
      </c>
      <c r="D74" s="160">
        <v>-55.710850177863747</v>
      </c>
      <c r="E74" s="160">
        <v>-22.486187078760256</v>
      </c>
      <c r="F74" s="160">
        <v>2011</v>
      </c>
      <c r="G74" s="160" t="s">
        <v>90</v>
      </c>
      <c r="H74" s="160" t="s">
        <v>188</v>
      </c>
      <c r="I74" s="160" t="s">
        <v>91</v>
      </c>
      <c r="J74" s="160" t="s">
        <v>20</v>
      </c>
      <c r="K74" s="160">
        <v>750</v>
      </c>
      <c r="L74" s="223">
        <v>146</v>
      </c>
      <c r="M74" s="217" t="s">
        <v>19</v>
      </c>
      <c r="N74" s="160" t="s">
        <v>88</v>
      </c>
      <c r="O74" s="223">
        <v>76.319999999999993</v>
      </c>
      <c r="P74" s="223">
        <v>14.3960758542042</v>
      </c>
    </row>
    <row r="75" spans="1:20" ht="17" customHeight="1" thickBot="1">
      <c r="A75" s="215" t="s">
        <v>94</v>
      </c>
      <c r="B75" s="215" t="s">
        <v>89</v>
      </c>
      <c r="C75" s="215" t="s">
        <v>161</v>
      </c>
      <c r="D75" s="215">
        <v>-51.710000628794234</v>
      </c>
      <c r="E75" s="215">
        <v>-20.788679161391403</v>
      </c>
      <c r="F75" s="215">
        <v>2011</v>
      </c>
      <c r="G75" s="215" t="s">
        <v>90</v>
      </c>
      <c r="H75" s="215" t="s">
        <v>188</v>
      </c>
      <c r="I75" s="215" t="s">
        <v>91</v>
      </c>
      <c r="J75" s="215" t="s">
        <v>20</v>
      </c>
      <c r="K75" s="215">
        <v>600</v>
      </c>
      <c r="L75" s="224">
        <v>146</v>
      </c>
      <c r="M75" s="218" t="s">
        <v>19</v>
      </c>
      <c r="N75" s="215" t="s">
        <v>88</v>
      </c>
      <c r="O75" s="224">
        <v>9.1</v>
      </c>
      <c r="P75" s="224">
        <v>5.2940217856244889</v>
      </c>
    </row>
    <row r="76" spans="1:20" ht="17" customHeight="1">
      <c r="A76" s="160" t="s">
        <v>94</v>
      </c>
      <c r="B76" s="160" t="s">
        <v>89</v>
      </c>
      <c r="C76" s="219" t="s">
        <v>124</v>
      </c>
      <c r="D76" s="261"/>
      <c r="E76" s="262"/>
      <c r="F76" s="160">
        <v>2011</v>
      </c>
      <c r="G76" s="160" t="s">
        <v>90</v>
      </c>
      <c r="H76" s="160" t="s">
        <v>188</v>
      </c>
      <c r="I76" s="160" t="s">
        <v>91</v>
      </c>
      <c r="J76" s="160" t="s">
        <v>93</v>
      </c>
      <c r="K76" s="160">
        <v>600</v>
      </c>
      <c r="L76" s="223">
        <v>146</v>
      </c>
      <c r="M76" s="217" t="s">
        <v>19</v>
      </c>
      <c r="N76" s="160" t="s">
        <v>88</v>
      </c>
      <c r="O76" s="160">
        <v>100</v>
      </c>
      <c r="P76" s="223">
        <v>0</v>
      </c>
      <c r="T76" s="213"/>
    </row>
    <row r="77" spans="1:20" ht="17" customHeight="1">
      <c r="A77" s="160" t="s">
        <v>94</v>
      </c>
      <c r="B77" s="160" t="s">
        <v>89</v>
      </c>
      <c r="C77" s="160" t="s">
        <v>100</v>
      </c>
      <c r="D77" s="160">
        <v>-50.439226072752582</v>
      </c>
      <c r="E77" s="160">
        <v>-21.205476000000004</v>
      </c>
      <c r="F77" s="160">
        <v>2011</v>
      </c>
      <c r="G77" s="160" t="s">
        <v>90</v>
      </c>
      <c r="H77" s="160" t="s">
        <v>188</v>
      </c>
      <c r="I77" s="160" t="s">
        <v>91</v>
      </c>
      <c r="J77" s="160" t="s">
        <v>93</v>
      </c>
      <c r="K77" s="160">
        <v>600</v>
      </c>
      <c r="L77" s="223">
        <v>292</v>
      </c>
      <c r="M77" s="217" t="s">
        <v>19</v>
      </c>
      <c r="N77" s="160" t="s">
        <v>88</v>
      </c>
      <c r="O77" s="223">
        <v>98.266666666666666</v>
      </c>
      <c r="P77" s="223">
        <v>3</v>
      </c>
      <c r="T77" s="211"/>
    </row>
    <row r="78" spans="1:20" ht="17" customHeight="1">
      <c r="A78" s="160" t="s">
        <v>94</v>
      </c>
      <c r="B78" s="160" t="s">
        <v>89</v>
      </c>
      <c r="C78" s="160" t="s">
        <v>102</v>
      </c>
      <c r="D78" s="160">
        <v>-49.083000867090362</v>
      </c>
      <c r="E78" s="160">
        <v>-22.325122500000006</v>
      </c>
      <c r="F78" s="160">
        <v>2011</v>
      </c>
      <c r="G78" s="160" t="s">
        <v>90</v>
      </c>
      <c r="H78" s="160" t="s">
        <v>188</v>
      </c>
      <c r="I78" s="160" t="s">
        <v>91</v>
      </c>
      <c r="J78" s="160" t="s">
        <v>93</v>
      </c>
      <c r="K78" s="160">
        <v>600</v>
      </c>
      <c r="L78" s="223">
        <v>292</v>
      </c>
      <c r="M78" s="217" t="s">
        <v>19</v>
      </c>
      <c r="N78" s="160" t="s">
        <v>88</v>
      </c>
      <c r="O78" s="160">
        <v>100</v>
      </c>
      <c r="P78" s="223">
        <v>0</v>
      </c>
      <c r="T78" s="211"/>
    </row>
    <row r="79" spans="1:20" ht="17" customHeight="1">
      <c r="A79" s="160" t="s">
        <v>94</v>
      </c>
      <c r="B79" s="160" t="s">
        <v>89</v>
      </c>
      <c r="C79" s="160" t="s">
        <v>104</v>
      </c>
      <c r="D79" s="160">
        <v>-47.06015627297316</v>
      </c>
      <c r="E79" s="160">
        <v>-22.907342500000002</v>
      </c>
      <c r="F79" s="160">
        <v>2011</v>
      </c>
      <c r="G79" s="160" t="s">
        <v>90</v>
      </c>
      <c r="H79" s="160" t="s">
        <v>188</v>
      </c>
      <c r="I79" s="160" t="s">
        <v>91</v>
      </c>
      <c r="J79" s="160" t="s">
        <v>93</v>
      </c>
      <c r="K79" s="160">
        <v>600</v>
      </c>
      <c r="L79" s="223">
        <v>292</v>
      </c>
      <c r="M79" s="217" t="s">
        <v>19</v>
      </c>
      <c r="N79" s="160" t="s">
        <v>88</v>
      </c>
      <c r="O79" s="223">
        <v>98.724999999999994</v>
      </c>
      <c r="P79" s="223">
        <v>2.6</v>
      </c>
      <c r="T79" s="211"/>
    </row>
    <row r="80" spans="1:20" ht="17" customHeight="1">
      <c r="A80" s="160" t="s">
        <v>94</v>
      </c>
      <c r="B80" s="160" t="s">
        <v>89</v>
      </c>
      <c r="C80" s="160" t="s">
        <v>107</v>
      </c>
      <c r="D80" s="160">
        <v>-49.951645643103269</v>
      </c>
      <c r="E80" s="160">
        <v>-22.214933000000002</v>
      </c>
      <c r="F80" s="160">
        <v>2011</v>
      </c>
      <c r="G80" s="160" t="s">
        <v>90</v>
      </c>
      <c r="H80" s="160" t="s">
        <v>188</v>
      </c>
      <c r="I80" s="160" t="s">
        <v>91</v>
      </c>
      <c r="J80" s="160" t="s">
        <v>93</v>
      </c>
      <c r="K80" s="160">
        <v>600</v>
      </c>
      <c r="L80" s="223">
        <v>292</v>
      </c>
      <c r="M80" s="217" t="s">
        <v>19</v>
      </c>
      <c r="N80" s="160" t="s">
        <v>88</v>
      </c>
      <c r="O80" s="160">
        <v>100</v>
      </c>
      <c r="P80" s="223">
        <v>0</v>
      </c>
      <c r="T80" s="211"/>
    </row>
    <row r="81" spans="1:20" ht="17" customHeight="1">
      <c r="A81" s="160" t="s">
        <v>94</v>
      </c>
      <c r="B81" s="160" t="s">
        <v>89</v>
      </c>
      <c r="C81" s="160" t="s">
        <v>95</v>
      </c>
      <c r="D81" s="160">
        <v>-46.570383182112749</v>
      </c>
      <c r="E81" s="160">
        <v>-23.567386500000001</v>
      </c>
      <c r="F81" s="160">
        <v>2011</v>
      </c>
      <c r="G81" s="160" t="s">
        <v>90</v>
      </c>
      <c r="H81" s="160" t="s">
        <v>188</v>
      </c>
      <c r="I81" s="160" t="s">
        <v>91</v>
      </c>
      <c r="J81" s="160" t="s">
        <v>93</v>
      </c>
      <c r="K81" s="160">
        <v>750</v>
      </c>
      <c r="L81" s="223">
        <v>292</v>
      </c>
      <c r="M81" s="217" t="s">
        <v>19</v>
      </c>
      <c r="N81" s="160" t="s">
        <v>88</v>
      </c>
      <c r="O81" s="223">
        <v>99.14</v>
      </c>
      <c r="P81" s="223">
        <v>1.9</v>
      </c>
      <c r="T81" s="211"/>
    </row>
    <row r="82" spans="1:20" ht="17" customHeight="1">
      <c r="A82" s="160" t="s">
        <v>94</v>
      </c>
      <c r="B82" s="160" t="s">
        <v>89</v>
      </c>
      <c r="C82" s="160" t="s">
        <v>108</v>
      </c>
      <c r="D82" s="160">
        <v>-51.386765581912492</v>
      </c>
      <c r="E82" s="160">
        <v>-22.122743500000002</v>
      </c>
      <c r="F82" s="160">
        <v>2011</v>
      </c>
      <c r="G82" s="160" t="s">
        <v>90</v>
      </c>
      <c r="H82" s="160" t="s">
        <v>188</v>
      </c>
      <c r="I82" s="160" t="s">
        <v>91</v>
      </c>
      <c r="J82" s="160" t="s">
        <v>93</v>
      </c>
      <c r="K82" s="160">
        <v>600</v>
      </c>
      <c r="L82" s="223">
        <v>292</v>
      </c>
      <c r="M82" s="217" t="s">
        <v>19</v>
      </c>
      <c r="N82" s="160" t="s">
        <v>88</v>
      </c>
      <c r="O82" s="223">
        <v>99.75</v>
      </c>
      <c r="P82" s="223">
        <v>0.5</v>
      </c>
      <c r="T82" s="211"/>
    </row>
    <row r="83" spans="1:20" ht="17" customHeight="1">
      <c r="A83" s="160" t="s">
        <v>94</v>
      </c>
      <c r="B83" s="160" t="s">
        <v>89</v>
      </c>
      <c r="C83" s="160" t="s">
        <v>109</v>
      </c>
      <c r="D83" s="160">
        <v>-47.805475915541528</v>
      </c>
      <c r="E83" s="160">
        <v>-21.184834500000004</v>
      </c>
      <c r="F83" s="160">
        <v>2011</v>
      </c>
      <c r="G83" s="160" t="s">
        <v>90</v>
      </c>
      <c r="H83" s="160" t="s">
        <v>188</v>
      </c>
      <c r="I83" s="160" t="s">
        <v>91</v>
      </c>
      <c r="J83" s="160" t="s">
        <v>93</v>
      </c>
      <c r="K83" s="160">
        <v>600</v>
      </c>
      <c r="L83" s="223">
        <v>292</v>
      </c>
      <c r="M83" s="217" t="s">
        <v>19</v>
      </c>
      <c r="N83" s="160" t="s">
        <v>88</v>
      </c>
      <c r="O83" s="223">
        <v>98.974999999999994</v>
      </c>
      <c r="P83" s="223">
        <v>1.2</v>
      </c>
      <c r="T83" s="211"/>
    </row>
    <row r="84" spans="1:20" ht="17" customHeight="1">
      <c r="A84" s="160" t="s">
        <v>94</v>
      </c>
      <c r="B84" s="160" t="s">
        <v>89</v>
      </c>
      <c r="C84" s="160" t="s">
        <v>110</v>
      </c>
      <c r="D84" s="160">
        <v>-46.331370849190684</v>
      </c>
      <c r="E84" s="160">
        <v>-23.933737500000003</v>
      </c>
      <c r="F84" s="160">
        <v>2011</v>
      </c>
      <c r="G84" s="160" t="s">
        <v>90</v>
      </c>
      <c r="H84" s="160" t="s">
        <v>188</v>
      </c>
      <c r="I84" s="160" t="s">
        <v>91</v>
      </c>
      <c r="J84" s="160" t="s">
        <v>93</v>
      </c>
      <c r="K84" s="160">
        <v>750</v>
      </c>
      <c r="L84" s="223">
        <v>292</v>
      </c>
      <c r="M84" s="217" t="s">
        <v>19</v>
      </c>
      <c r="N84" s="160" t="s">
        <v>88</v>
      </c>
      <c r="O84" s="223">
        <v>97.22</v>
      </c>
      <c r="P84" s="223">
        <v>1.3</v>
      </c>
      <c r="T84" s="211"/>
    </row>
    <row r="85" spans="1:20" ht="17" customHeight="1">
      <c r="A85" s="160" t="s">
        <v>94</v>
      </c>
      <c r="B85" s="160" t="s">
        <v>89</v>
      </c>
      <c r="C85" s="160" t="s">
        <v>113</v>
      </c>
      <c r="D85" s="160">
        <v>-45.402680140543957</v>
      </c>
      <c r="E85" s="160">
        <v>-23.806687652148753</v>
      </c>
      <c r="F85" s="160">
        <v>2011</v>
      </c>
      <c r="G85" s="160" t="s">
        <v>90</v>
      </c>
      <c r="H85" s="160" t="s">
        <v>188</v>
      </c>
      <c r="I85" s="160" t="s">
        <v>91</v>
      </c>
      <c r="J85" s="160" t="s">
        <v>93</v>
      </c>
      <c r="K85" s="160">
        <v>600</v>
      </c>
      <c r="L85" s="223">
        <v>292</v>
      </c>
      <c r="M85" s="217" t="s">
        <v>19</v>
      </c>
      <c r="N85" s="160" t="s">
        <v>88</v>
      </c>
      <c r="O85" s="223">
        <v>99.35</v>
      </c>
      <c r="P85" s="223">
        <v>1.3</v>
      </c>
      <c r="T85" s="211"/>
    </row>
    <row r="86" spans="1:20" ht="17" customHeight="1">
      <c r="A86" s="160" t="s">
        <v>94</v>
      </c>
      <c r="B86" s="160" t="s">
        <v>89</v>
      </c>
      <c r="C86" s="160" t="s">
        <v>114</v>
      </c>
      <c r="D86" s="160">
        <v>-47.457853253204043</v>
      </c>
      <c r="E86" s="160">
        <v>-23.499323</v>
      </c>
      <c r="F86" s="160">
        <v>2011</v>
      </c>
      <c r="G86" s="160" t="s">
        <v>90</v>
      </c>
      <c r="H86" s="160" t="s">
        <v>188</v>
      </c>
      <c r="I86" s="160" t="s">
        <v>91</v>
      </c>
      <c r="J86" s="160" t="s">
        <v>93</v>
      </c>
      <c r="K86" s="160">
        <v>600</v>
      </c>
      <c r="L86" s="223">
        <v>292</v>
      </c>
      <c r="M86" s="217" t="s">
        <v>19</v>
      </c>
      <c r="N86" s="160" t="s">
        <v>88</v>
      </c>
      <c r="O86" s="160">
        <v>100</v>
      </c>
      <c r="P86" s="223">
        <v>0</v>
      </c>
      <c r="T86" s="212"/>
    </row>
    <row r="87" spans="1:20" ht="17" customHeight="1">
      <c r="A87" s="160" t="s">
        <v>94</v>
      </c>
      <c r="B87" s="160" t="s">
        <v>89</v>
      </c>
      <c r="C87" s="160" t="s">
        <v>129</v>
      </c>
      <c r="D87" s="160">
        <v>-58.117939347991616</v>
      </c>
      <c r="E87" s="160">
        <v>-15.235682810143553</v>
      </c>
      <c r="F87" s="160">
        <v>2011</v>
      </c>
      <c r="G87" s="160" t="s">
        <v>90</v>
      </c>
      <c r="H87" s="160" t="s">
        <v>188</v>
      </c>
      <c r="I87" s="160" t="s">
        <v>91</v>
      </c>
      <c r="J87" s="160" t="s">
        <v>93</v>
      </c>
      <c r="K87" s="160">
        <v>600</v>
      </c>
      <c r="L87" s="223">
        <v>292</v>
      </c>
      <c r="M87" s="217" t="s">
        <v>19</v>
      </c>
      <c r="N87" s="160" t="s">
        <v>88</v>
      </c>
      <c r="O87" s="160">
        <v>100</v>
      </c>
      <c r="P87" s="223">
        <v>0</v>
      </c>
      <c r="T87" s="211"/>
    </row>
    <row r="88" spans="1:20" ht="17" customHeight="1">
      <c r="A88" s="160" t="s">
        <v>94</v>
      </c>
      <c r="B88" s="160" t="s">
        <v>89</v>
      </c>
      <c r="C88" s="160" t="s">
        <v>123</v>
      </c>
      <c r="D88" s="160">
        <v>-38.488061484007851</v>
      </c>
      <c r="E88" s="160">
        <v>-13.014771911532753</v>
      </c>
      <c r="F88" s="160">
        <v>2011</v>
      </c>
      <c r="G88" s="160" t="s">
        <v>90</v>
      </c>
      <c r="H88" s="160" t="s">
        <v>188</v>
      </c>
      <c r="I88" s="160" t="s">
        <v>91</v>
      </c>
      <c r="J88" s="160" t="s">
        <v>93</v>
      </c>
      <c r="K88" s="160">
        <v>600</v>
      </c>
      <c r="L88" s="223">
        <v>292</v>
      </c>
      <c r="M88" s="217" t="s">
        <v>19</v>
      </c>
      <c r="N88" s="160" t="s">
        <v>88</v>
      </c>
      <c r="O88" s="223">
        <v>98.424999999999997</v>
      </c>
      <c r="P88" s="223">
        <v>2.8</v>
      </c>
      <c r="T88" s="211"/>
    </row>
    <row r="89" spans="1:20" ht="17" customHeight="1">
      <c r="A89" s="160" t="s">
        <v>94</v>
      </c>
      <c r="B89" s="160" t="s">
        <v>89</v>
      </c>
      <c r="C89" s="160" t="s">
        <v>158</v>
      </c>
      <c r="D89" s="160">
        <v>-36.790840052134712</v>
      </c>
      <c r="E89" s="160">
        <v>-9.9569226033201854</v>
      </c>
      <c r="F89" s="160">
        <v>2011</v>
      </c>
      <c r="G89" s="160" t="s">
        <v>90</v>
      </c>
      <c r="H89" s="160" t="s">
        <v>188</v>
      </c>
      <c r="I89" s="160" t="s">
        <v>91</v>
      </c>
      <c r="J89" s="160" t="s">
        <v>93</v>
      </c>
      <c r="K89" s="160">
        <v>600</v>
      </c>
      <c r="L89" s="223">
        <v>292</v>
      </c>
      <c r="M89" s="217" t="s">
        <v>19</v>
      </c>
      <c r="N89" s="160" t="s">
        <v>88</v>
      </c>
      <c r="O89" s="223">
        <v>98.65</v>
      </c>
      <c r="P89" s="223">
        <v>2.7</v>
      </c>
      <c r="T89" s="211"/>
    </row>
    <row r="90" spans="1:20" ht="17" customHeight="1">
      <c r="A90" s="160" t="s">
        <v>94</v>
      </c>
      <c r="B90" s="160" t="s">
        <v>89</v>
      </c>
      <c r="C90" s="160" t="s">
        <v>159</v>
      </c>
      <c r="D90" s="160">
        <v>-54.758055950193267</v>
      </c>
      <c r="E90" s="160">
        <v>-18.508410538646654</v>
      </c>
      <c r="F90" s="160">
        <v>2011</v>
      </c>
      <c r="G90" s="160" t="s">
        <v>90</v>
      </c>
      <c r="H90" s="160" t="s">
        <v>188</v>
      </c>
      <c r="I90" s="160" t="s">
        <v>91</v>
      </c>
      <c r="J90" s="160" t="s">
        <v>93</v>
      </c>
      <c r="K90" s="160">
        <v>600</v>
      </c>
      <c r="L90" s="223">
        <v>292</v>
      </c>
      <c r="M90" s="217" t="s">
        <v>19</v>
      </c>
      <c r="N90" s="160" t="s">
        <v>88</v>
      </c>
      <c r="O90" s="223">
        <v>99.474999999999994</v>
      </c>
      <c r="P90" s="223">
        <v>0.5</v>
      </c>
      <c r="T90" s="211"/>
    </row>
    <row r="91" spans="1:20" ht="17" customHeight="1">
      <c r="A91" s="160" t="s">
        <v>94</v>
      </c>
      <c r="B91" s="160" t="s">
        <v>89</v>
      </c>
      <c r="C91" s="160" t="s">
        <v>160</v>
      </c>
      <c r="D91" s="160">
        <v>-54.811289122892603</v>
      </c>
      <c r="E91" s="160">
        <v>-22.227235536898849</v>
      </c>
      <c r="F91" s="160">
        <v>2011</v>
      </c>
      <c r="G91" s="160" t="s">
        <v>90</v>
      </c>
      <c r="H91" s="160" t="s">
        <v>188</v>
      </c>
      <c r="I91" s="160" t="s">
        <v>91</v>
      </c>
      <c r="J91" s="160" t="s">
        <v>93</v>
      </c>
      <c r="K91" s="160">
        <v>600</v>
      </c>
      <c r="L91" s="223">
        <v>292</v>
      </c>
      <c r="M91" s="217" t="s">
        <v>19</v>
      </c>
      <c r="N91" s="160" t="s">
        <v>88</v>
      </c>
      <c r="O91" s="223">
        <v>99.674999999999997</v>
      </c>
      <c r="P91" s="223">
        <v>0.6</v>
      </c>
      <c r="T91" s="210"/>
    </row>
    <row r="92" spans="1:20" ht="17" customHeight="1">
      <c r="A92" s="160" t="s">
        <v>94</v>
      </c>
      <c r="B92" s="160" t="s">
        <v>89</v>
      </c>
      <c r="C92" s="160" t="s">
        <v>162</v>
      </c>
      <c r="D92" s="160">
        <v>-55.710850177863747</v>
      </c>
      <c r="E92" s="160">
        <v>-22.486187078760256</v>
      </c>
      <c r="F92" s="160">
        <v>2011</v>
      </c>
      <c r="G92" s="160" t="s">
        <v>90</v>
      </c>
      <c r="H92" s="160" t="s">
        <v>188</v>
      </c>
      <c r="I92" s="160" t="s">
        <v>91</v>
      </c>
      <c r="J92" s="160" t="s">
        <v>93</v>
      </c>
      <c r="K92" s="160">
        <v>600</v>
      </c>
      <c r="L92" s="223">
        <v>292</v>
      </c>
      <c r="M92" s="217" t="s">
        <v>19</v>
      </c>
      <c r="N92" s="160" t="s">
        <v>88</v>
      </c>
      <c r="O92" s="160">
        <v>100</v>
      </c>
      <c r="P92" s="223">
        <v>0</v>
      </c>
      <c r="T92" s="210"/>
    </row>
    <row r="93" spans="1:20" ht="17" customHeight="1">
      <c r="A93" s="160" t="s">
        <v>94</v>
      </c>
      <c r="B93" s="160" t="s">
        <v>89</v>
      </c>
      <c r="C93" s="160" t="s">
        <v>161</v>
      </c>
      <c r="D93" s="160">
        <v>-51.710000628794234</v>
      </c>
      <c r="E93" s="160">
        <v>-20.788679161391403</v>
      </c>
      <c r="F93" s="160">
        <v>2011</v>
      </c>
      <c r="G93" s="160" t="s">
        <v>90</v>
      </c>
      <c r="H93" s="160" t="s">
        <v>188</v>
      </c>
      <c r="I93" s="160" t="s">
        <v>91</v>
      </c>
      <c r="J93" s="160" t="s">
        <v>93</v>
      </c>
      <c r="K93" s="160">
        <v>900</v>
      </c>
      <c r="L93" s="223">
        <v>292</v>
      </c>
      <c r="M93" s="217" t="s">
        <v>19</v>
      </c>
      <c r="N93" s="160" t="s">
        <v>88</v>
      </c>
      <c r="O93" s="223">
        <v>91.466666666666654</v>
      </c>
      <c r="P93" s="223">
        <v>7.3</v>
      </c>
      <c r="T93" s="210"/>
    </row>
    <row r="94" spans="1:20" ht="17" customHeight="1" thickBot="1">
      <c r="A94" s="215" t="s">
        <v>94</v>
      </c>
      <c r="B94" s="215" t="s">
        <v>89</v>
      </c>
      <c r="C94" s="215" t="s">
        <v>183</v>
      </c>
      <c r="D94" s="215">
        <v>-43.01869950839113</v>
      </c>
      <c r="E94" s="215">
        <v>-21.175549526018958</v>
      </c>
      <c r="F94" s="215">
        <v>2011</v>
      </c>
      <c r="G94" s="215" t="s">
        <v>90</v>
      </c>
      <c r="H94" s="215" t="s">
        <v>188</v>
      </c>
      <c r="I94" s="215" t="s">
        <v>91</v>
      </c>
      <c r="J94" s="215" t="s">
        <v>93</v>
      </c>
      <c r="K94" s="215">
        <v>450</v>
      </c>
      <c r="L94" s="224">
        <v>292</v>
      </c>
      <c r="M94" s="218" t="s">
        <v>19</v>
      </c>
      <c r="N94" s="215" t="s">
        <v>88</v>
      </c>
      <c r="O94" s="215">
        <v>100</v>
      </c>
      <c r="P94" s="224">
        <v>0</v>
      </c>
      <c r="T94" s="210"/>
    </row>
    <row r="95" spans="1:20" ht="17" customHeight="1">
      <c r="A95" s="160" t="s">
        <v>94</v>
      </c>
      <c r="B95" s="160" t="s">
        <v>89</v>
      </c>
      <c r="C95" s="219" t="s">
        <v>124</v>
      </c>
      <c r="D95" s="268"/>
      <c r="E95" s="269"/>
      <c r="F95" s="160">
        <v>2011</v>
      </c>
      <c r="G95" s="160" t="s">
        <v>90</v>
      </c>
      <c r="H95" s="160" t="s">
        <v>188</v>
      </c>
      <c r="I95" s="160" t="s">
        <v>91</v>
      </c>
      <c r="J95" s="160" t="s">
        <v>21</v>
      </c>
      <c r="K95" s="160">
        <v>600</v>
      </c>
      <c r="L95" s="223">
        <v>9</v>
      </c>
      <c r="M95" s="217" t="s">
        <v>19</v>
      </c>
      <c r="N95" s="160" t="s">
        <v>88</v>
      </c>
      <c r="O95" s="160">
        <v>100</v>
      </c>
      <c r="P95" s="223">
        <v>0</v>
      </c>
      <c r="T95" s="210"/>
    </row>
    <row r="96" spans="1:20" ht="17" customHeight="1">
      <c r="A96" s="272" t="s">
        <v>4</v>
      </c>
      <c r="B96" s="160" t="s">
        <v>89</v>
      </c>
      <c r="C96" s="160" t="s">
        <v>100</v>
      </c>
      <c r="D96" s="160">
        <v>-50.439226072752582</v>
      </c>
      <c r="E96" s="160">
        <v>-21.205476000000004</v>
      </c>
      <c r="F96" s="160">
        <v>2011</v>
      </c>
      <c r="G96" s="160" t="s">
        <v>90</v>
      </c>
      <c r="H96" s="160" t="s">
        <v>188</v>
      </c>
      <c r="I96" s="160" t="s">
        <v>91</v>
      </c>
      <c r="J96" s="160" t="s">
        <v>21</v>
      </c>
      <c r="K96" s="272">
        <v>450</v>
      </c>
      <c r="L96" s="223">
        <v>18</v>
      </c>
      <c r="M96" s="217" t="s">
        <v>19</v>
      </c>
      <c r="N96" s="160" t="s">
        <v>88</v>
      </c>
      <c r="O96" s="279">
        <v>64.333333333333329</v>
      </c>
      <c r="P96" s="223">
        <v>20.7</v>
      </c>
    </row>
    <row r="97" spans="1:20" ht="17" customHeight="1">
      <c r="A97" s="160" t="s">
        <v>94</v>
      </c>
      <c r="B97" s="160" t="s">
        <v>89</v>
      </c>
      <c r="C97" s="160" t="s">
        <v>102</v>
      </c>
      <c r="D97" s="160">
        <v>-49.083000867090362</v>
      </c>
      <c r="E97" s="160">
        <v>-22.325122500000006</v>
      </c>
      <c r="F97" s="160">
        <v>2011</v>
      </c>
      <c r="G97" s="160" t="s">
        <v>90</v>
      </c>
      <c r="H97" s="160" t="s">
        <v>188</v>
      </c>
      <c r="I97" s="160" t="s">
        <v>91</v>
      </c>
      <c r="J97" s="160" t="s">
        <v>21</v>
      </c>
      <c r="K97" s="160">
        <v>600</v>
      </c>
      <c r="L97" s="223">
        <v>18</v>
      </c>
      <c r="M97" s="217" t="s">
        <v>19</v>
      </c>
      <c r="N97" s="160" t="s">
        <v>88</v>
      </c>
      <c r="O97" s="223">
        <v>81.150000000000006</v>
      </c>
      <c r="P97" s="223">
        <v>9.4</v>
      </c>
      <c r="T97" s="210"/>
    </row>
    <row r="98" spans="1:20" ht="17" customHeight="1">
      <c r="A98" s="160" t="s">
        <v>94</v>
      </c>
      <c r="B98" s="160" t="s">
        <v>89</v>
      </c>
      <c r="C98" s="160" t="s">
        <v>104</v>
      </c>
      <c r="D98" s="160">
        <v>-47.06015627297316</v>
      </c>
      <c r="E98" s="160">
        <v>-22.907342500000002</v>
      </c>
      <c r="F98" s="160">
        <v>2011</v>
      </c>
      <c r="G98" s="160" t="s">
        <v>90</v>
      </c>
      <c r="H98" s="160" t="s">
        <v>188</v>
      </c>
      <c r="I98" s="160" t="s">
        <v>91</v>
      </c>
      <c r="J98" s="160" t="s">
        <v>21</v>
      </c>
      <c r="K98" s="272">
        <v>600</v>
      </c>
      <c r="L98" s="223">
        <v>18</v>
      </c>
      <c r="M98" s="217" t="s">
        <v>19</v>
      </c>
      <c r="N98" s="160" t="s">
        <v>88</v>
      </c>
      <c r="O98" s="279">
        <v>65.474999999999994</v>
      </c>
      <c r="P98" s="223">
        <v>14.1</v>
      </c>
    </row>
    <row r="99" spans="1:20" ht="17" customHeight="1">
      <c r="A99" s="272" t="s">
        <v>4</v>
      </c>
      <c r="B99" s="160" t="s">
        <v>89</v>
      </c>
      <c r="C99" s="160" t="s">
        <v>107</v>
      </c>
      <c r="D99" s="160">
        <v>-49.951645643103269</v>
      </c>
      <c r="E99" s="160">
        <v>-22.214933000000002</v>
      </c>
      <c r="F99" s="160">
        <v>2011</v>
      </c>
      <c r="G99" s="160" t="s">
        <v>90</v>
      </c>
      <c r="H99" s="160" t="s">
        <v>188</v>
      </c>
      <c r="I99" s="160" t="s">
        <v>91</v>
      </c>
      <c r="J99" s="160" t="s">
        <v>21</v>
      </c>
      <c r="K99" s="272">
        <v>600</v>
      </c>
      <c r="L99" s="223">
        <v>18</v>
      </c>
      <c r="M99" s="217" t="s">
        <v>19</v>
      </c>
      <c r="N99" s="160" t="s">
        <v>88</v>
      </c>
      <c r="O99" s="279">
        <v>73.474999999999994</v>
      </c>
      <c r="P99" s="223">
        <v>12</v>
      </c>
    </row>
    <row r="100" spans="1:20" ht="17" customHeight="1">
      <c r="A100" s="160" t="s">
        <v>94</v>
      </c>
      <c r="B100" s="160" t="s">
        <v>89</v>
      </c>
      <c r="C100" s="160" t="s">
        <v>95</v>
      </c>
      <c r="D100" s="160">
        <v>-46.570383182112749</v>
      </c>
      <c r="E100" s="160">
        <v>-23.567386500000001</v>
      </c>
      <c r="F100" s="160">
        <v>2011</v>
      </c>
      <c r="G100" s="160" t="s">
        <v>90</v>
      </c>
      <c r="H100" s="160" t="s">
        <v>188</v>
      </c>
      <c r="I100" s="160" t="s">
        <v>91</v>
      </c>
      <c r="J100" s="160" t="s">
        <v>21</v>
      </c>
      <c r="K100" s="160">
        <v>750</v>
      </c>
      <c r="L100" s="223">
        <v>18</v>
      </c>
      <c r="M100" s="217" t="s">
        <v>19</v>
      </c>
      <c r="N100" s="160" t="s">
        <v>88</v>
      </c>
      <c r="O100" s="223">
        <v>48.96</v>
      </c>
      <c r="P100" s="223">
        <v>22.8</v>
      </c>
    </row>
    <row r="101" spans="1:20" ht="17" customHeight="1">
      <c r="A101" s="160" t="s">
        <v>94</v>
      </c>
      <c r="B101" s="160" t="s">
        <v>89</v>
      </c>
      <c r="C101" s="160" t="s">
        <v>108</v>
      </c>
      <c r="D101" s="160">
        <v>-51.386765581912492</v>
      </c>
      <c r="E101" s="160">
        <v>-22.122743500000002</v>
      </c>
      <c r="F101" s="160">
        <v>2011</v>
      </c>
      <c r="G101" s="160" t="s">
        <v>90</v>
      </c>
      <c r="H101" s="160" t="s">
        <v>188</v>
      </c>
      <c r="I101" s="160" t="s">
        <v>91</v>
      </c>
      <c r="J101" s="160" t="s">
        <v>21</v>
      </c>
      <c r="K101" s="272">
        <v>600</v>
      </c>
      <c r="L101" s="223">
        <v>18</v>
      </c>
      <c r="M101" s="217" t="s">
        <v>19</v>
      </c>
      <c r="N101" s="160" t="s">
        <v>88</v>
      </c>
      <c r="O101" s="279">
        <v>40.524999999999999</v>
      </c>
      <c r="P101" s="223">
        <v>20.5</v>
      </c>
    </row>
    <row r="102" spans="1:20" ht="17" customHeight="1">
      <c r="A102" s="160" t="s">
        <v>94</v>
      </c>
      <c r="B102" s="160" t="s">
        <v>89</v>
      </c>
      <c r="C102" s="160" t="s">
        <v>109</v>
      </c>
      <c r="D102" s="160">
        <v>-47.805475915541528</v>
      </c>
      <c r="E102" s="160">
        <v>-21.184834500000004</v>
      </c>
      <c r="F102" s="160">
        <v>2011</v>
      </c>
      <c r="G102" s="160" t="s">
        <v>90</v>
      </c>
      <c r="H102" s="160" t="s">
        <v>188</v>
      </c>
      <c r="I102" s="160" t="s">
        <v>91</v>
      </c>
      <c r="J102" s="160" t="s">
        <v>21</v>
      </c>
      <c r="K102" s="272">
        <v>600</v>
      </c>
      <c r="L102" s="223">
        <v>18</v>
      </c>
      <c r="M102" s="217" t="s">
        <v>19</v>
      </c>
      <c r="N102" s="160" t="s">
        <v>88</v>
      </c>
      <c r="O102" s="279">
        <v>69.674999999999997</v>
      </c>
      <c r="P102" s="223">
        <v>2.2000000000000002</v>
      </c>
    </row>
    <row r="103" spans="1:20" ht="17" customHeight="1">
      <c r="A103" s="272" t="s">
        <v>4</v>
      </c>
      <c r="B103" s="160" t="s">
        <v>89</v>
      </c>
      <c r="C103" s="160" t="s">
        <v>110</v>
      </c>
      <c r="D103" s="160">
        <v>-46.331370849190684</v>
      </c>
      <c r="E103" s="160">
        <v>-23.933737500000003</v>
      </c>
      <c r="F103" s="160">
        <v>2011</v>
      </c>
      <c r="G103" s="160" t="s">
        <v>90</v>
      </c>
      <c r="H103" s="160" t="s">
        <v>188</v>
      </c>
      <c r="I103" s="160" t="s">
        <v>91</v>
      </c>
      <c r="J103" s="160" t="s">
        <v>21</v>
      </c>
      <c r="K103" s="272">
        <v>750</v>
      </c>
      <c r="L103" s="223">
        <v>18</v>
      </c>
      <c r="M103" s="217" t="s">
        <v>19</v>
      </c>
      <c r="N103" s="160" t="s">
        <v>88</v>
      </c>
      <c r="O103" s="279">
        <v>49.64</v>
      </c>
      <c r="P103" s="223">
        <v>5.8</v>
      </c>
    </row>
    <row r="104" spans="1:20" ht="17" customHeight="1">
      <c r="A104" s="160" t="s">
        <v>94</v>
      </c>
      <c r="B104" s="160" t="s">
        <v>89</v>
      </c>
      <c r="C104" s="160" t="s">
        <v>113</v>
      </c>
      <c r="D104" s="160">
        <v>-45.402680140543957</v>
      </c>
      <c r="E104" s="160">
        <v>-23.806687652148753</v>
      </c>
      <c r="F104" s="160">
        <v>2011</v>
      </c>
      <c r="G104" s="160" t="s">
        <v>90</v>
      </c>
      <c r="H104" s="160" t="s">
        <v>188</v>
      </c>
      <c r="I104" s="160" t="s">
        <v>91</v>
      </c>
      <c r="J104" s="160" t="s">
        <v>21</v>
      </c>
      <c r="K104" s="160">
        <v>600</v>
      </c>
      <c r="L104" s="223">
        <v>18</v>
      </c>
      <c r="M104" s="217" t="s">
        <v>19</v>
      </c>
      <c r="N104" s="160" t="s">
        <v>88</v>
      </c>
      <c r="O104" s="223">
        <v>27.925000000000001</v>
      </c>
      <c r="P104" s="223">
        <v>16.5</v>
      </c>
    </row>
    <row r="105" spans="1:20" ht="17" customHeight="1">
      <c r="A105" s="160" t="s">
        <v>94</v>
      </c>
      <c r="B105" s="160" t="s">
        <v>89</v>
      </c>
      <c r="C105" s="160" t="s">
        <v>114</v>
      </c>
      <c r="D105" s="160">
        <v>-47.457853253204043</v>
      </c>
      <c r="E105" s="160">
        <v>-23.499323</v>
      </c>
      <c r="F105" s="160">
        <v>2011</v>
      </c>
      <c r="G105" s="160" t="s">
        <v>90</v>
      </c>
      <c r="H105" s="160" t="s">
        <v>188</v>
      </c>
      <c r="I105" s="160" t="s">
        <v>91</v>
      </c>
      <c r="J105" s="160" t="s">
        <v>21</v>
      </c>
      <c r="K105" s="160">
        <v>600</v>
      </c>
      <c r="L105" s="223">
        <v>18</v>
      </c>
      <c r="M105" s="217" t="s">
        <v>19</v>
      </c>
      <c r="N105" s="160" t="s">
        <v>88</v>
      </c>
      <c r="O105" s="223">
        <v>55.475000000000009</v>
      </c>
      <c r="P105" s="223">
        <v>13.3</v>
      </c>
    </row>
    <row r="106" spans="1:20" ht="17" customHeight="1">
      <c r="A106" s="160" t="s">
        <v>94</v>
      </c>
      <c r="B106" s="160" t="s">
        <v>89</v>
      </c>
      <c r="C106" s="160" t="s">
        <v>129</v>
      </c>
      <c r="D106" s="160">
        <v>-58.117939347991616</v>
      </c>
      <c r="E106" s="160">
        <v>-15.235682810143553</v>
      </c>
      <c r="F106" s="160">
        <v>2011</v>
      </c>
      <c r="G106" s="160" t="s">
        <v>90</v>
      </c>
      <c r="H106" s="160" t="s">
        <v>188</v>
      </c>
      <c r="I106" s="160" t="s">
        <v>91</v>
      </c>
      <c r="J106" s="160" t="s">
        <v>21</v>
      </c>
      <c r="K106" s="160">
        <v>600</v>
      </c>
      <c r="L106" s="223">
        <v>18</v>
      </c>
      <c r="M106" s="217" t="s">
        <v>19</v>
      </c>
      <c r="N106" s="160" t="s">
        <v>88</v>
      </c>
      <c r="O106" s="223">
        <v>95.4</v>
      </c>
      <c r="P106" s="223">
        <v>4.2</v>
      </c>
    </row>
    <row r="107" spans="1:20" ht="17" customHeight="1">
      <c r="A107" s="160" t="s">
        <v>94</v>
      </c>
      <c r="B107" s="160" t="s">
        <v>89</v>
      </c>
      <c r="C107" s="160" t="s">
        <v>123</v>
      </c>
      <c r="D107" s="160">
        <v>-38.488061484007851</v>
      </c>
      <c r="E107" s="160">
        <v>-13.014771911532753</v>
      </c>
      <c r="F107" s="160">
        <v>2011</v>
      </c>
      <c r="G107" s="160" t="s">
        <v>90</v>
      </c>
      <c r="H107" s="160" t="s">
        <v>188</v>
      </c>
      <c r="I107" s="160" t="s">
        <v>91</v>
      </c>
      <c r="J107" s="160" t="s">
        <v>21</v>
      </c>
      <c r="K107" s="160">
        <v>750</v>
      </c>
      <c r="L107" s="223">
        <v>18</v>
      </c>
      <c r="M107" s="217" t="s">
        <v>19</v>
      </c>
      <c r="N107" s="160" t="s">
        <v>88</v>
      </c>
      <c r="O107" s="223">
        <v>89.32</v>
      </c>
      <c r="P107" s="223">
        <v>6</v>
      </c>
    </row>
    <row r="108" spans="1:20" ht="17" customHeight="1">
      <c r="A108" s="160" t="s">
        <v>94</v>
      </c>
      <c r="B108" s="160" t="s">
        <v>89</v>
      </c>
      <c r="C108" s="160" t="s">
        <v>158</v>
      </c>
      <c r="D108" s="160">
        <v>-36.790840052134712</v>
      </c>
      <c r="E108" s="160">
        <v>-9.9569226033201854</v>
      </c>
      <c r="F108" s="160">
        <v>2011</v>
      </c>
      <c r="G108" s="160" t="s">
        <v>90</v>
      </c>
      <c r="H108" s="160" t="s">
        <v>188</v>
      </c>
      <c r="I108" s="160" t="s">
        <v>91</v>
      </c>
      <c r="J108" s="160" t="s">
        <v>21</v>
      </c>
      <c r="K108" s="160">
        <v>600</v>
      </c>
      <c r="L108" s="223">
        <v>18</v>
      </c>
      <c r="M108" s="217" t="s">
        <v>19</v>
      </c>
      <c r="N108" s="160" t="s">
        <v>88</v>
      </c>
      <c r="O108" s="223">
        <v>43.9</v>
      </c>
      <c r="P108" s="223">
        <v>5</v>
      </c>
    </row>
    <row r="109" spans="1:20" ht="17" customHeight="1">
      <c r="A109" s="160" t="s">
        <v>94</v>
      </c>
      <c r="B109" s="160" t="s">
        <v>89</v>
      </c>
      <c r="C109" s="160" t="s">
        <v>159</v>
      </c>
      <c r="D109" s="160">
        <v>-54.758055950193267</v>
      </c>
      <c r="E109" s="160">
        <v>-18.508410538646654</v>
      </c>
      <c r="F109" s="160">
        <v>2011</v>
      </c>
      <c r="G109" s="160" t="s">
        <v>90</v>
      </c>
      <c r="H109" s="160" t="s">
        <v>188</v>
      </c>
      <c r="I109" s="160" t="s">
        <v>91</v>
      </c>
      <c r="J109" s="160" t="s">
        <v>21</v>
      </c>
      <c r="K109" s="160">
        <v>600</v>
      </c>
      <c r="L109" s="223">
        <v>18</v>
      </c>
      <c r="M109" s="217" t="s">
        <v>19</v>
      </c>
      <c r="N109" s="160" t="s">
        <v>88</v>
      </c>
      <c r="O109" s="223">
        <v>47.400000000000006</v>
      </c>
      <c r="P109" s="223">
        <v>15.045486587899561</v>
      </c>
    </row>
    <row r="110" spans="1:20" ht="17" customHeight="1">
      <c r="A110" s="160" t="s">
        <v>94</v>
      </c>
      <c r="B110" s="160" t="s">
        <v>89</v>
      </c>
      <c r="C110" s="160" t="s">
        <v>160</v>
      </c>
      <c r="D110" s="160">
        <v>-54.811289122892603</v>
      </c>
      <c r="E110" s="160">
        <v>-22.227235536898849</v>
      </c>
      <c r="F110" s="160">
        <v>2011</v>
      </c>
      <c r="G110" s="160" t="s">
        <v>90</v>
      </c>
      <c r="H110" s="160" t="s">
        <v>188</v>
      </c>
      <c r="I110" s="160" t="s">
        <v>91</v>
      </c>
      <c r="J110" s="160" t="s">
        <v>21</v>
      </c>
      <c r="K110" s="160">
        <v>600</v>
      </c>
      <c r="L110" s="223">
        <v>18</v>
      </c>
      <c r="M110" s="217" t="s">
        <v>19</v>
      </c>
      <c r="N110" s="160" t="s">
        <v>88</v>
      </c>
      <c r="O110" s="223">
        <v>51.574999999999996</v>
      </c>
      <c r="P110" s="223">
        <v>16.920672760462764</v>
      </c>
    </row>
    <row r="111" spans="1:20" ht="17" customHeight="1">
      <c r="A111" s="160" t="s">
        <v>94</v>
      </c>
      <c r="B111" s="160" t="s">
        <v>89</v>
      </c>
      <c r="C111" s="160" t="s">
        <v>162</v>
      </c>
      <c r="D111" s="160">
        <v>-55.710850177863747</v>
      </c>
      <c r="E111" s="160">
        <v>-22.486187078760256</v>
      </c>
      <c r="F111" s="160">
        <v>2011</v>
      </c>
      <c r="G111" s="160" t="s">
        <v>90</v>
      </c>
      <c r="H111" s="160" t="s">
        <v>188</v>
      </c>
      <c r="I111" s="160" t="s">
        <v>91</v>
      </c>
      <c r="J111" s="160" t="s">
        <v>21</v>
      </c>
      <c r="K111" s="160">
        <v>600</v>
      </c>
      <c r="L111" s="223">
        <v>18</v>
      </c>
      <c r="M111" s="217" t="s">
        <v>19</v>
      </c>
      <c r="N111" s="160" t="s">
        <v>88</v>
      </c>
      <c r="O111" s="223">
        <v>45.775000000000006</v>
      </c>
      <c r="P111" s="223">
        <v>14.207128492415329</v>
      </c>
    </row>
    <row r="112" spans="1:20" ht="17" customHeight="1">
      <c r="A112" s="160" t="s">
        <v>94</v>
      </c>
      <c r="B112" s="160" t="s">
        <v>89</v>
      </c>
      <c r="C112" s="160" t="s">
        <v>161</v>
      </c>
      <c r="D112" s="160">
        <v>-51.710000628794234</v>
      </c>
      <c r="E112" s="160">
        <v>-20.788679161391403</v>
      </c>
      <c r="F112" s="160">
        <v>2011</v>
      </c>
      <c r="G112" s="160" t="s">
        <v>90</v>
      </c>
      <c r="H112" s="160" t="s">
        <v>188</v>
      </c>
      <c r="I112" s="160" t="s">
        <v>91</v>
      </c>
      <c r="J112" s="160" t="s">
        <v>21</v>
      </c>
      <c r="K112" s="160">
        <v>600</v>
      </c>
      <c r="L112" s="223">
        <v>18</v>
      </c>
      <c r="M112" s="217" t="s">
        <v>19</v>
      </c>
      <c r="N112" s="160" t="s">
        <v>88</v>
      </c>
      <c r="O112" s="223">
        <v>15.3</v>
      </c>
      <c r="P112" s="223">
        <v>13.290848982163126</v>
      </c>
    </row>
    <row r="113" spans="1:24" ht="17" customHeight="1" thickBot="1">
      <c r="A113" s="215" t="s">
        <v>94</v>
      </c>
      <c r="B113" s="215" t="s">
        <v>89</v>
      </c>
      <c r="C113" s="215" t="s">
        <v>183</v>
      </c>
      <c r="D113" s="215">
        <v>-43.01869950839113</v>
      </c>
      <c r="E113" s="215">
        <v>-21.175549526018958</v>
      </c>
      <c r="F113" s="215">
        <v>2011</v>
      </c>
      <c r="G113" s="215" t="s">
        <v>90</v>
      </c>
      <c r="H113" s="215" t="s">
        <v>188</v>
      </c>
      <c r="I113" s="215" t="s">
        <v>91</v>
      </c>
      <c r="J113" s="215" t="s">
        <v>21</v>
      </c>
      <c r="K113" s="215">
        <v>450</v>
      </c>
      <c r="L113" s="224">
        <v>18</v>
      </c>
      <c r="M113" s="218" t="s">
        <v>19</v>
      </c>
      <c r="N113" s="215" t="s">
        <v>88</v>
      </c>
      <c r="O113" s="224">
        <v>16.433333333333334</v>
      </c>
      <c r="P113" s="224">
        <v>10</v>
      </c>
    </row>
    <row r="115" spans="1:24" ht="17" customHeight="1">
      <c r="V115" s="16"/>
      <c r="W115" s="16"/>
      <c r="X115" s="16"/>
    </row>
    <row r="116" spans="1:24" ht="17" customHeight="1">
      <c r="U116" s="16"/>
      <c r="V116" s="16"/>
      <c r="W116" s="16"/>
      <c r="X116" s="16"/>
    </row>
    <row r="117" spans="1:24" ht="17" customHeight="1">
      <c r="U117" s="16"/>
      <c r="V117" s="16"/>
      <c r="W117" s="16"/>
      <c r="X117" s="16"/>
    </row>
    <row r="118" spans="1:24" ht="17" customHeight="1">
      <c r="U118" s="16"/>
      <c r="V118" s="16"/>
      <c r="W118" s="16"/>
      <c r="X118" s="16"/>
    </row>
    <row r="119" spans="1:24" ht="17" customHeight="1">
      <c r="U119" s="16"/>
      <c r="V119" s="16"/>
      <c r="W119" s="16"/>
      <c r="X119" s="16"/>
    </row>
    <row r="120" spans="1:24" ht="17" customHeight="1">
      <c r="U120" s="16"/>
      <c r="V120" s="16"/>
      <c r="W120" s="16"/>
      <c r="X120" s="16"/>
    </row>
    <row r="121" spans="1:24" ht="17" customHeight="1">
      <c r="U121" s="16"/>
      <c r="V121" s="16"/>
      <c r="W121" s="16"/>
      <c r="X121" s="16"/>
    </row>
    <row r="122" spans="1:24" ht="17" customHeight="1">
      <c r="U122" s="16"/>
      <c r="V122" s="16"/>
      <c r="W122" s="16"/>
      <c r="X122" s="16"/>
    </row>
    <row r="123" spans="1:24" ht="17" customHeight="1">
      <c r="U123" s="16"/>
      <c r="V123" s="16"/>
      <c r="W123" s="16"/>
      <c r="X123" s="16"/>
    </row>
    <row r="124" spans="1:24" ht="17" customHeight="1">
      <c r="U124" s="16"/>
      <c r="V124" s="16"/>
      <c r="W124" s="16"/>
      <c r="X124" s="16"/>
    </row>
    <row r="125" spans="1:24" ht="17" customHeight="1">
      <c r="U125" s="16"/>
      <c r="V125" s="16"/>
      <c r="W125" s="16"/>
      <c r="X125" s="16"/>
    </row>
    <row r="126" spans="1:24" ht="17" customHeight="1">
      <c r="U126" s="16"/>
      <c r="V126" s="16"/>
      <c r="W126" s="16"/>
      <c r="X126" s="16"/>
    </row>
    <row r="127" spans="1:24" ht="17" customHeight="1">
      <c r="U127" s="16"/>
      <c r="V127" s="16"/>
      <c r="W127" s="16"/>
      <c r="X127" s="16"/>
    </row>
    <row r="128" spans="1:24" ht="17" customHeight="1">
      <c r="U128" s="16"/>
      <c r="V128" s="16"/>
      <c r="W128" s="16"/>
      <c r="X128" s="16"/>
    </row>
    <row r="129" spans="21:24" ht="17" customHeight="1">
      <c r="U129" s="16"/>
      <c r="V129" s="16"/>
      <c r="W129" s="16"/>
      <c r="X129" s="16"/>
    </row>
    <row r="130" spans="21:24" ht="17" customHeight="1">
      <c r="U130" s="16"/>
      <c r="V130" s="16"/>
      <c r="W130" s="16"/>
      <c r="X130" s="16"/>
    </row>
    <row r="131" spans="21:24" ht="17" customHeight="1">
      <c r="U131" s="16"/>
      <c r="V131" s="16"/>
      <c r="W131" s="16"/>
      <c r="X131" s="16"/>
    </row>
    <row r="132" spans="21:24" ht="17" customHeight="1">
      <c r="U132" s="16"/>
      <c r="V132" s="16"/>
      <c r="W132" s="16"/>
      <c r="X132" s="16"/>
    </row>
    <row r="133" spans="21:24" ht="17" customHeight="1">
      <c r="U133" s="16"/>
      <c r="V133" s="16"/>
      <c r="W133" s="16"/>
      <c r="X133" s="16"/>
    </row>
    <row r="134" spans="21:24" ht="17" customHeight="1">
      <c r="U134" s="16"/>
      <c r="V134" s="16"/>
      <c r="W134" s="16"/>
      <c r="X134" s="16"/>
    </row>
    <row r="135" spans="21:24" ht="17" customHeight="1">
      <c r="U135" s="16"/>
      <c r="V135" s="16"/>
      <c r="W135" s="16"/>
      <c r="X135" s="16"/>
    </row>
    <row r="136" spans="21:24" ht="17" customHeight="1">
      <c r="U136" s="16"/>
      <c r="V136" s="16"/>
      <c r="W136" s="16"/>
      <c r="X136" s="16"/>
    </row>
    <row r="137" spans="21:24" ht="17" customHeight="1">
      <c r="U137" s="16"/>
      <c r="V137" s="16"/>
      <c r="W137" s="16"/>
      <c r="X137" s="16"/>
    </row>
    <row r="138" spans="21:24" ht="17" customHeight="1">
      <c r="U138" s="16"/>
      <c r="V138" s="16"/>
      <c r="W138" s="16"/>
      <c r="X138" s="16"/>
    </row>
    <row r="139" spans="21:24" ht="17" customHeight="1">
      <c r="V139" s="16"/>
      <c r="W139" s="16"/>
      <c r="X139" s="16"/>
    </row>
    <row r="140" spans="21:24" ht="17" customHeight="1">
      <c r="V140" s="16"/>
      <c r="W140" s="16"/>
      <c r="X140" s="16"/>
    </row>
    <row r="141" spans="21:24" ht="17" customHeight="1">
      <c r="V141" s="16"/>
      <c r="W141" s="16"/>
      <c r="X141" s="16"/>
    </row>
    <row r="142" spans="21:24" ht="17" customHeight="1">
      <c r="W142" s="16"/>
      <c r="X142" s="16"/>
    </row>
    <row r="143" spans="21:24" ht="17" customHeight="1">
      <c r="W143" s="16"/>
      <c r="X143" s="16"/>
    </row>
    <row r="144" spans="21:24" ht="17" customHeight="1">
      <c r="W144" s="16"/>
      <c r="X144" s="16"/>
    </row>
    <row r="145" spans="23:24" ht="17" customHeight="1">
      <c r="W145" s="16"/>
      <c r="X145" s="16"/>
    </row>
    <row r="146" spans="23:24" ht="17" customHeight="1">
      <c r="W146" s="16"/>
      <c r="X146" s="16"/>
    </row>
    <row r="147" spans="23:24" ht="17" customHeight="1">
      <c r="W147" s="16"/>
      <c r="X147" s="16"/>
    </row>
    <row r="148" spans="23:24" ht="17" customHeight="1">
      <c r="W148" s="16"/>
      <c r="X148" s="16"/>
    </row>
    <row r="149" spans="23:24" ht="17" customHeight="1">
      <c r="W149" s="16"/>
      <c r="X149" s="16"/>
    </row>
    <row r="150" spans="23:24" ht="17" customHeight="1">
      <c r="W150" s="16"/>
      <c r="X150" s="16"/>
    </row>
    <row r="151" spans="23:24" ht="17" customHeight="1">
      <c r="W151" s="16"/>
      <c r="X151" s="16"/>
    </row>
    <row r="152" spans="23:24" ht="17" customHeight="1">
      <c r="W152" s="16"/>
      <c r="X152" s="16"/>
    </row>
    <row r="153" spans="23:24" ht="17" customHeight="1">
      <c r="W153" s="16"/>
      <c r="X153" s="16"/>
    </row>
    <row r="154" spans="23:24" ht="17" customHeight="1">
      <c r="W154" s="16"/>
      <c r="X154" s="16"/>
    </row>
    <row r="155" spans="23:24" ht="17" customHeight="1">
      <c r="W155" s="16"/>
      <c r="X155" s="16"/>
    </row>
    <row r="156" spans="23:24" ht="17" customHeight="1">
      <c r="W156" s="16"/>
      <c r="X156" s="16"/>
    </row>
    <row r="157" spans="23:24" ht="17" customHeight="1">
      <c r="W157" s="16"/>
      <c r="X157" s="16"/>
    </row>
    <row r="158" spans="23:24" ht="17" customHeight="1">
      <c r="W158" s="16"/>
      <c r="X158" s="16"/>
    </row>
    <row r="159" spans="23:24" ht="17" customHeight="1">
      <c r="W159" s="16"/>
      <c r="X159" s="16"/>
    </row>
    <row r="160" spans="23:24" ht="17" customHeight="1">
      <c r="W160" s="16"/>
      <c r="X160" s="16"/>
    </row>
    <row r="161" spans="23:24" ht="17" customHeight="1">
      <c r="W161" s="16"/>
      <c r="X161" s="16"/>
    </row>
    <row r="162" spans="23:24" ht="17" customHeight="1">
      <c r="W162" s="16"/>
      <c r="X162" s="16"/>
    </row>
    <row r="163" spans="23:24" ht="17" customHeight="1">
      <c r="W163" s="16"/>
      <c r="X163" s="16"/>
    </row>
    <row r="164" spans="23:24" ht="17" customHeight="1">
      <c r="W164" s="16"/>
      <c r="X164" s="16"/>
    </row>
    <row r="165" spans="23:24" ht="17" customHeight="1">
      <c r="W165" s="16"/>
      <c r="X165" s="16"/>
    </row>
    <row r="166" spans="23:24" ht="17" customHeight="1">
      <c r="W166" s="16"/>
      <c r="X166" s="16"/>
    </row>
    <row r="167" spans="23:24" ht="17" customHeight="1">
      <c r="W167" s="16"/>
      <c r="X167" s="16"/>
    </row>
    <row r="168" spans="23:24" ht="17" customHeight="1">
      <c r="W168" s="16"/>
      <c r="X168" s="16"/>
    </row>
    <row r="169" spans="23:24" ht="17" customHeight="1">
      <c r="W169" s="16"/>
      <c r="X169" s="16"/>
    </row>
    <row r="170" spans="23:24" ht="17" customHeight="1">
      <c r="W170" s="16"/>
      <c r="X170" s="16"/>
    </row>
    <row r="171" spans="23:24" ht="17" customHeight="1">
      <c r="W171" s="16"/>
      <c r="X171" s="16"/>
    </row>
    <row r="172" spans="23:24" ht="17" customHeight="1">
      <c r="X172" s="16"/>
    </row>
    <row r="173" spans="23:24" ht="17" customHeight="1">
      <c r="X173" s="16"/>
    </row>
    <row r="174" spans="23:24" ht="17" customHeight="1">
      <c r="X174" s="16"/>
    </row>
    <row r="175" spans="23:24" ht="17" customHeight="1">
      <c r="X175" s="16"/>
    </row>
    <row r="176" spans="23:24" ht="17" customHeight="1">
      <c r="X176" s="16"/>
    </row>
    <row r="177" spans="24:24" ht="17" customHeight="1">
      <c r="X177" s="16"/>
    </row>
    <row r="178" spans="24:24" ht="17" customHeight="1">
      <c r="X178" s="16"/>
    </row>
    <row r="179" spans="24:24" ht="17" customHeight="1">
      <c r="X179" s="16"/>
    </row>
    <row r="180" spans="24:24" ht="17" customHeight="1">
      <c r="X180" s="16"/>
    </row>
    <row r="181" spans="24:24" ht="17" customHeight="1">
      <c r="X181" s="16"/>
    </row>
    <row r="182" spans="24:24" ht="17" customHeight="1">
      <c r="X182" s="16"/>
    </row>
    <row r="183" spans="24:24" ht="17" customHeight="1">
      <c r="X183" s="16"/>
    </row>
    <row r="184" spans="24:24" ht="17" customHeight="1">
      <c r="X184" s="16"/>
    </row>
    <row r="185" spans="24:24" ht="17" customHeight="1">
      <c r="X185" s="16"/>
    </row>
    <row r="186" spans="24:24" ht="17" customHeight="1">
      <c r="X186" s="16"/>
    </row>
    <row r="187" spans="24:24" ht="17" customHeight="1">
      <c r="X187" s="16"/>
    </row>
    <row r="188" spans="24:24" ht="17" customHeight="1">
      <c r="X188" s="16"/>
    </row>
    <row r="189" spans="24:24" ht="17" customHeight="1">
      <c r="X189" s="16"/>
    </row>
    <row r="190" spans="24:24" ht="17" customHeight="1">
      <c r="X190" s="16"/>
    </row>
    <row r="191" spans="24:24" ht="17" customHeight="1">
      <c r="X191" s="16"/>
    </row>
    <row r="192" spans="24:24" ht="17" customHeight="1">
      <c r="X192" s="16"/>
    </row>
    <row r="193" spans="24:24" ht="17" customHeight="1">
      <c r="X193" s="16"/>
    </row>
    <row r="194" spans="24:24" ht="17" customHeight="1">
      <c r="X194" s="16"/>
    </row>
    <row r="195" spans="24:24" ht="17" customHeight="1">
      <c r="X195" s="16"/>
    </row>
    <row r="196" spans="24:24" ht="17" customHeight="1">
      <c r="X196" s="16"/>
    </row>
    <row r="197" spans="24:24" ht="17" customHeight="1">
      <c r="X197" s="16"/>
    </row>
    <row r="198" spans="24:24" ht="17" customHeight="1">
      <c r="X198" s="16"/>
    </row>
    <row r="199" spans="24:24" ht="17" customHeight="1">
      <c r="X199" s="16"/>
    </row>
    <row r="200" spans="24:24" ht="17" customHeight="1">
      <c r="X200" s="16"/>
    </row>
    <row r="201" spans="24:24" ht="17" customHeight="1">
      <c r="X201" s="16"/>
    </row>
    <row r="202" spans="24:24" ht="17" customHeight="1">
      <c r="X202" s="16"/>
    </row>
    <row r="203" spans="24:24" ht="17" customHeight="1">
      <c r="X203" s="16"/>
    </row>
    <row r="204" spans="24:24" ht="17" customHeight="1">
      <c r="X204" s="16"/>
    </row>
    <row r="205" spans="24:24" ht="17" customHeight="1">
      <c r="X205" s="16"/>
    </row>
    <row r="206" spans="24:24" ht="17" customHeight="1">
      <c r="X206" s="16"/>
    </row>
    <row r="207" spans="24:24" ht="17" customHeight="1">
      <c r="X207" s="16"/>
    </row>
    <row r="208" spans="24:24" ht="17" customHeight="1">
      <c r="X208" s="16"/>
    </row>
    <row r="209" spans="24:24" ht="17" customHeight="1">
      <c r="X209" s="16"/>
    </row>
    <row r="210" spans="24:24" ht="17" customHeight="1">
      <c r="X210" s="16"/>
    </row>
    <row r="211" spans="24:24" ht="17" customHeight="1">
      <c r="X211" s="16"/>
    </row>
    <row r="212" spans="24:24" ht="17" customHeight="1">
      <c r="X212" s="16"/>
    </row>
    <row r="213" spans="24:24" ht="17" customHeight="1">
      <c r="X213" s="16"/>
    </row>
    <row r="214" spans="24:24" ht="17" customHeight="1">
      <c r="X214" s="16"/>
    </row>
    <row r="215" spans="24:24" ht="17" customHeight="1">
      <c r="X215" s="16"/>
    </row>
    <row r="216" spans="24:24" ht="17" customHeight="1">
      <c r="X216" s="16"/>
    </row>
    <row r="217" spans="24:24" ht="17" customHeight="1">
      <c r="X217" s="16"/>
    </row>
    <row r="218" spans="24:24" ht="17" customHeight="1">
      <c r="X218" s="16"/>
    </row>
    <row r="219" spans="24:24" ht="17" customHeight="1">
      <c r="X219" s="16"/>
    </row>
    <row r="220" spans="24:24" ht="17" customHeight="1">
      <c r="X220" s="16"/>
    </row>
    <row r="221" spans="24:24" ht="17" customHeight="1">
      <c r="X221" s="16"/>
    </row>
    <row r="222" spans="24:24" ht="17" customHeight="1">
      <c r="X222" s="16"/>
    </row>
    <row r="223" spans="24:24" ht="17" customHeight="1">
      <c r="X223" s="16"/>
    </row>
    <row r="224" spans="24:24" ht="17" customHeight="1">
      <c r="X224" s="16"/>
    </row>
    <row r="225" spans="24:24" ht="17" customHeight="1">
      <c r="X225" s="16"/>
    </row>
    <row r="226" spans="24:24" ht="17" customHeight="1">
      <c r="X226" s="16"/>
    </row>
    <row r="227" spans="24:24" ht="17" customHeight="1">
      <c r="X227" s="16"/>
    </row>
    <row r="228" spans="24:24" ht="17" customHeight="1">
      <c r="X228" s="16"/>
    </row>
    <row r="229" spans="24:24" ht="17" customHeight="1">
      <c r="X229" s="16"/>
    </row>
    <row r="230" spans="24:24" ht="17" customHeight="1">
      <c r="X230" s="16"/>
    </row>
    <row r="231" spans="24:24" ht="17" customHeight="1">
      <c r="X231" s="16"/>
    </row>
    <row r="232" spans="24:24" ht="17" customHeight="1">
      <c r="X232" s="16"/>
    </row>
    <row r="233" spans="24:24" ht="17" customHeight="1">
      <c r="X233" s="16"/>
    </row>
    <row r="234" spans="24:24" ht="17" customHeight="1">
      <c r="X234" s="16"/>
    </row>
    <row r="235" spans="24:24" ht="17" customHeight="1">
      <c r="X235" s="16"/>
    </row>
    <row r="236" spans="24:24" ht="17" customHeight="1">
      <c r="X236" s="16"/>
    </row>
    <row r="237" spans="24:24" ht="17" customHeight="1">
      <c r="X237" s="16"/>
    </row>
    <row r="238" spans="24:24" ht="17" customHeight="1">
      <c r="X238" s="16"/>
    </row>
    <row r="239" spans="24:24" ht="17" customHeight="1">
      <c r="X239" s="16"/>
    </row>
    <row r="240" spans="24:24" ht="17" customHeight="1">
      <c r="X240" s="16"/>
    </row>
    <row r="241" spans="24:24" ht="17" customHeight="1">
      <c r="X241" s="16"/>
    </row>
    <row r="242" spans="24:24" ht="17" customHeight="1">
      <c r="X242" s="16"/>
    </row>
    <row r="243" spans="24:24" ht="17" customHeight="1">
      <c r="X243" s="16"/>
    </row>
    <row r="244" spans="24:24" ht="17" customHeight="1">
      <c r="X244" s="16"/>
    </row>
    <row r="245" spans="24:24" ht="17" customHeight="1">
      <c r="X245" s="16"/>
    </row>
    <row r="246" spans="24:24" ht="17" customHeight="1">
      <c r="X246" s="16"/>
    </row>
    <row r="247" spans="24:24" ht="17" customHeight="1">
      <c r="X247" s="16"/>
    </row>
    <row r="248" spans="24:24" ht="17" customHeight="1">
      <c r="X248" s="16"/>
    </row>
    <row r="249" spans="24:24" ht="17" customHeight="1">
      <c r="X249" s="16"/>
    </row>
    <row r="250" spans="24:24" ht="17" customHeight="1">
      <c r="X250" s="16"/>
    </row>
    <row r="251" spans="24:24" ht="17" customHeight="1">
      <c r="X251" s="16"/>
    </row>
    <row r="252" spans="24:24" ht="17" customHeight="1">
      <c r="X252" s="16"/>
    </row>
    <row r="253" spans="24:24" ht="17" customHeight="1">
      <c r="X253" s="16"/>
    </row>
    <row r="254" spans="24:24" ht="17" customHeight="1">
      <c r="X254" s="16"/>
    </row>
    <row r="255" spans="24:24" ht="17" customHeight="1">
      <c r="X255" s="16"/>
    </row>
    <row r="256" spans="24:24" ht="17" customHeight="1">
      <c r="X256" s="16"/>
    </row>
    <row r="257" spans="24:24" ht="17" customHeight="1">
      <c r="X257" s="16"/>
    </row>
    <row r="258" spans="24:24" ht="17" customHeight="1">
      <c r="X258" s="16"/>
    </row>
    <row r="259" spans="24:24" ht="17" customHeight="1">
      <c r="X259" s="16"/>
    </row>
    <row r="260" spans="24:24" ht="17" customHeight="1">
      <c r="X260" s="16"/>
    </row>
    <row r="261" spans="24:24" ht="17" customHeight="1">
      <c r="X261" s="16"/>
    </row>
    <row r="262" spans="24:24" ht="17" customHeight="1">
      <c r="X262" s="16"/>
    </row>
    <row r="263" spans="24:24" ht="17" customHeight="1">
      <c r="X263" s="16"/>
    </row>
    <row r="264" spans="24:24" ht="17" customHeight="1">
      <c r="X264" s="16"/>
    </row>
    <row r="265" spans="24:24" ht="17" customHeight="1">
      <c r="X265" s="16"/>
    </row>
    <row r="266" spans="24:24" ht="17" customHeight="1">
      <c r="X266" s="16"/>
    </row>
    <row r="267" spans="24:24" ht="17" customHeight="1">
      <c r="X267" s="16"/>
    </row>
    <row r="268" spans="24:24" ht="17" customHeight="1">
      <c r="X268" s="16"/>
    </row>
    <row r="269" spans="24:24" ht="17" customHeight="1">
      <c r="X269" s="16"/>
    </row>
    <row r="270" spans="24:24" ht="17" customHeight="1">
      <c r="X270" s="16"/>
    </row>
    <row r="271" spans="24:24" ht="17" customHeight="1">
      <c r="X271" s="16"/>
    </row>
    <row r="272" spans="24:24" ht="17" customHeight="1">
      <c r="X272" s="16"/>
    </row>
    <row r="273" spans="24:24" ht="17" customHeight="1">
      <c r="X273" s="16"/>
    </row>
    <row r="274" spans="24:24" ht="17" customHeight="1">
      <c r="X274" s="16"/>
    </row>
    <row r="275" spans="24:24" ht="17" customHeight="1">
      <c r="X275" s="16"/>
    </row>
    <row r="276" spans="24:24" ht="17" customHeight="1">
      <c r="X276" s="16"/>
    </row>
    <row r="277" spans="24:24" ht="17" customHeight="1">
      <c r="X277" s="16"/>
    </row>
    <row r="278" spans="24:24" ht="17" customHeight="1">
      <c r="X278" s="16"/>
    </row>
    <row r="279" spans="24:24" ht="17" customHeight="1">
      <c r="X279" s="16"/>
    </row>
    <row r="280" spans="24:24" ht="17" customHeight="1">
      <c r="X280" s="16"/>
    </row>
    <row r="281" spans="24:24" ht="17" customHeight="1">
      <c r="X281" s="16"/>
    </row>
    <row r="282" spans="24:24" ht="17" customHeight="1">
      <c r="X282" s="16"/>
    </row>
    <row r="283" spans="24:24" ht="17" customHeight="1">
      <c r="X283" s="16"/>
    </row>
    <row r="284" spans="24:24" ht="17" customHeight="1">
      <c r="X284" s="16"/>
    </row>
    <row r="285" spans="24:24" ht="17" customHeight="1">
      <c r="X285" s="16"/>
    </row>
    <row r="286" spans="24:24" ht="17" customHeight="1">
      <c r="X286" s="16"/>
    </row>
    <row r="287" spans="24:24" ht="17" customHeight="1">
      <c r="X287" s="16"/>
    </row>
    <row r="288" spans="24:24" ht="17" customHeight="1">
      <c r="X288" s="16"/>
    </row>
    <row r="289" spans="24:24" ht="17" customHeight="1">
      <c r="X289" s="16"/>
    </row>
    <row r="290" spans="24:24" ht="17" customHeight="1">
      <c r="X290" s="16"/>
    </row>
    <row r="291" spans="24:24" ht="17" customHeight="1">
      <c r="X291" s="16"/>
    </row>
    <row r="292" spans="24:24" ht="17" customHeight="1">
      <c r="X292" s="16"/>
    </row>
    <row r="293" spans="24:24" ht="17" customHeight="1">
      <c r="X293" s="16"/>
    </row>
    <row r="294" spans="24:24" ht="17" customHeight="1">
      <c r="X294" s="16"/>
    </row>
    <row r="295" spans="24:24" ht="17" customHeight="1">
      <c r="X295" s="16"/>
    </row>
    <row r="296" spans="24:24" ht="17" customHeight="1">
      <c r="X296" s="16"/>
    </row>
    <row r="297" spans="24:24" ht="17" customHeight="1">
      <c r="X297" s="16"/>
    </row>
    <row r="298" spans="24:24" ht="17" customHeight="1">
      <c r="X298" s="16"/>
    </row>
    <row r="299" spans="24:24" ht="17" customHeight="1">
      <c r="X299" s="16"/>
    </row>
  </sheetData>
  <sheetCalcPr fullCalcOnLoad="1"/>
  <phoneticPr fontId="48" type="noConversion"/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205"/>
  <sheetViews>
    <sheetView topLeftCell="D16" workbookViewId="0">
      <selection activeCell="K1" sqref="K1"/>
    </sheetView>
  </sheetViews>
  <sheetFormatPr baseColWidth="10" defaultColWidth="8.83203125" defaultRowHeight="14.25" customHeight="1"/>
  <cols>
    <col min="1" max="1" width="18.83203125" style="41" bestFit="1" customWidth="1"/>
    <col min="2" max="2" width="7.83203125" style="41" bestFit="1" customWidth="1"/>
    <col min="3" max="3" width="20.83203125" style="194" bestFit="1" customWidth="1"/>
    <col min="4" max="4" width="14.33203125" style="194" bestFit="1" customWidth="1"/>
    <col min="5" max="5" width="15.6640625" style="172" bestFit="1" customWidth="1"/>
    <col min="6" max="7" width="14.1640625" style="172" bestFit="1" customWidth="1"/>
    <col min="8" max="8" width="17.33203125" style="172" bestFit="1" customWidth="1"/>
    <col min="9" max="9" width="19.5" style="172" bestFit="1" customWidth="1"/>
    <col min="10" max="10" width="11.6640625" style="172" bestFit="1" customWidth="1"/>
    <col min="11" max="11" width="14.83203125" style="172" bestFit="1" customWidth="1"/>
    <col min="12" max="12" width="13.1640625" style="172" bestFit="1" customWidth="1"/>
    <col min="13" max="13" width="10.6640625" style="172" bestFit="1" customWidth="1"/>
    <col min="14" max="14" width="8.33203125" style="172" bestFit="1" customWidth="1"/>
    <col min="15" max="15" width="16.1640625" style="172" bestFit="1" customWidth="1"/>
    <col min="16" max="16" width="16" style="172" bestFit="1" customWidth="1"/>
    <col min="17" max="19" width="8" style="172" bestFit="1" customWidth="1"/>
    <col min="20" max="20" width="8.83203125" style="201"/>
    <col min="21" max="16384" width="8.83203125" style="202"/>
  </cols>
  <sheetData>
    <row r="1" spans="1:19" ht="14.25" customHeight="1" thickBot="1">
      <c r="A1" s="167" t="s">
        <v>69</v>
      </c>
      <c r="B1" s="167" t="s">
        <v>70</v>
      </c>
      <c r="C1" s="41" t="s">
        <v>71</v>
      </c>
      <c r="D1" s="168" t="s">
        <v>190</v>
      </c>
      <c r="E1" s="41" t="s">
        <v>24</v>
      </c>
      <c r="F1" s="41" t="s">
        <v>72</v>
      </c>
      <c r="G1" s="41" t="s">
        <v>73</v>
      </c>
      <c r="H1" s="167" t="s">
        <v>74</v>
      </c>
      <c r="I1" s="41" t="s">
        <v>75</v>
      </c>
      <c r="J1" s="41" t="s">
        <v>76</v>
      </c>
      <c r="K1" s="41" t="s">
        <v>77</v>
      </c>
      <c r="L1" s="102" t="s">
        <v>78</v>
      </c>
      <c r="M1" s="102" t="s">
        <v>79</v>
      </c>
      <c r="N1" s="102" t="s">
        <v>82</v>
      </c>
      <c r="O1" s="102" t="s">
        <v>83</v>
      </c>
      <c r="P1" s="104" t="s">
        <v>84</v>
      </c>
      <c r="Q1" s="102" t="s">
        <v>85</v>
      </c>
      <c r="R1" s="102" t="s">
        <v>86</v>
      </c>
      <c r="S1" s="102" t="s">
        <v>87</v>
      </c>
    </row>
    <row r="2" spans="1:19" ht="14.25" customHeight="1">
      <c r="A2" s="41" t="s">
        <v>94</v>
      </c>
      <c r="B2" s="41" t="s">
        <v>89</v>
      </c>
      <c r="C2" s="169" t="s">
        <v>124</v>
      </c>
      <c r="D2" s="268"/>
      <c r="E2" s="269"/>
      <c r="F2" s="170">
        <v>2012</v>
      </c>
      <c r="G2" s="171" t="s">
        <v>90</v>
      </c>
      <c r="H2" s="172" t="s">
        <v>177</v>
      </c>
      <c r="I2" s="170" t="s">
        <v>91</v>
      </c>
      <c r="J2" s="170" t="s">
        <v>81</v>
      </c>
      <c r="K2" s="173">
        <v>1200</v>
      </c>
      <c r="L2" s="170">
        <v>1.2E-2</v>
      </c>
      <c r="M2" s="170" t="s">
        <v>80</v>
      </c>
      <c r="N2" s="170" t="s">
        <v>88</v>
      </c>
      <c r="O2" s="173">
        <v>100</v>
      </c>
      <c r="P2" s="183">
        <v>3.0000000000000079E-4</v>
      </c>
      <c r="Q2" s="174">
        <v>3.7000000000000002E-3</v>
      </c>
      <c r="R2" s="174">
        <v>5.1000000000000004E-3</v>
      </c>
      <c r="S2" s="174">
        <v>5.8999999999999999E-3</v>
      </c>
    </row>
    <row r="3" spans="1:19" ht="14.25" customHeight="1">
      <c r="A3" s="41" t="s">
        <v>94</v>
      </c>
      <c r="B3" s="41" t="s">
        <v>89</v>
      </c>
      <c r="C3" s="149" t="s">
        <v>101</v>
      </c>
      <c r="D3" s="92">
        <v>-48.567377839455055</v>
      </c>
      <c r="E3" s="92">
        <v>-20.558455515000002</v>
      </c>
      <c r="F3" s="41">
        <v>2012</v>
      </c>
      <c r="G3" s="175" t="s">
        <v>90</v>
      </c>
      <c r="H3" s="172" t="s">
        <v>177</v>
      </c>
      <c r="I3" s="41" t="s">
        <v>91</v>
      </c>
      <c r="J3" s="41" t="s">
        <v>81</v>
      </c>
      <c r="K3" s="102">
        <v>900</v>
      </c>
      <c r="L3" s="41">
        <v>1.2E-2</v>
      </c>
      <c r="M3" s="41" t="s">
        <v>80</v>
      </c>
      <c r="N3" s="41" t="s">
        <v>88</v>
      </c>
      <c r="O3" s="147">
        <f>(36+75.3+41.7)/3</f>
        <v>51</v>
      </c>
      <c r="P3" s="199">
        <v>2.0000000000000018E-3</v>
      </c>
      <c r="Q3" s="195">
        <v>1.2E-2</v>
      </c>
      <c r="R3" s="195">
        <v>2.4E-2</v>
      </c>
      <c r="S3" s="195">
        <v>3.1E-2</v>
      </c>
    </row>
    <row r="4" spans="1:19" ht="14.25" customHeight="1">
      <c r="A4" s="41" t="s">
        <v>94</v>
      </c>
      <c r="B4" s="41" t="s">
        <v>89</v>
      </c>
      <c r="C4" s="149" t="s">
        <v>102</v>
      </c>
      <c r="D4" s="92">
        <v>-49.083000867090362</v>
      </c>
      <c r="E4" s="92">
        <v>-22.325122500000006</v>
      </c>
      <c r="F4" s="41">
        <v>2012</v>
      </c>
      <c r="G4" s="175" t="s">
        <v>90</v>
      </c>
      <c r="H4" s="172" t="s">
        <v>177</v>
      </c>
      <c r="I4" s="41" t="s">
        <v>91</v>
      </c>
      <c r="J4" s="41" t="s">
        <v>81</v>
      </c>
      <c r="K4" s="102">
        <v>1200</v>
      </c>
      <c r="L4" s="41">
        <v>1.2E-2</v>
      </c>
      <c r="M4" s="41" t="s">
        <v>80</v>
      </c>
      <c r="N4" s="41" t="s">
        <v>88</v>
      </c>
      <c r="O4" s="147">
        <f>(92.5+42.6+64.7+70.2)/4</f>
        <v>67.5</v>
      </c>
      <c r="P4" s="199">
        <v>1.0000000000000009E-3</v>
      </c>
      <c r="Q4" s="195">
        <v>0.01</v>
      </c>
      <c r="R4" s="195">
        <v>0.02</v>
      </c>
      <c r="S4" s="195">
        <v>2.8000000000000001E-2</v>
      </c>
    </row>
    <row r="5" spans="1:19" ht="14.25" customHeight="1">
      <c r="A5" s="41" t="s">
        <v>94</v>
      </c>
      <c r="B5" s="41" t="s">
        <v>89</v>
      </c>
      <c r="C5" s="149" t="s">
        <v>103</v>
      </c>
      <c r="D5" s="92">
        <v>-48.441289384350434</v>
      </c>
      <c r="E5" s="92">
        <v>-22.888381500000008</v>
      </c>
      <c r="F5" s="41">
        <v>2012</v>
      </c>
      <c r="G5" s="175" t="s">
        <v>90</v>
      </c>
      <c r="H5" s="172" t="s">
        <v>177</v>
      </c>
      <c r="I5" s="41" t="s">
        <v>91</v>
      </c>
      <c r="J5" s="41" t="s">
        <v>81</v>
      </c>
      <c r="K5" s="102">
        <v>1200</v>
      </c>
      <c r="L5" s="41">
        <v>1.2E-2</v>
      </c>
      <c r="M5" s="41" t="s">
        <v>80</v>
      </c>
      <c r="N5" s="41" t="s">
        <v>88</v>
      </c>
      <c r="O5" s="147">
        <f>(80.3+85+97.4+96)/4</f>
        <v>89.675000000000011</v>
      </c>
      <c r="P5" s="197">
        <v>1E-4</v>
      </c>
      <c r="Q5" s="195">
        <v>7.0000000000000001E-3</v>
      </c>
      <c r="R5" s="195">
        <v>1.0999999999999999E-2</v>
      </c>
      <c r="S5" s="195">
        <v>1.4E-2</v>
      </c>
    </row>
    <row r="6" spans="1:19" ht="14.25" customHeight="1">
      <c r="A6" s="41" t="s">
        <v>94</v>
      </c>
      <c r="B6" s="41" t="s">
        <v>89</v>
      </c>
      <c r="C6" s="149" t="s">
        <v>106</v>
      </c>
      <c r="D6" s="92">
        <v>-46.933372863488053</v>
      </c>
      <c r="E6" s="92">
        <v>-23.546934000000004</v>
      </c>
      <c r="F6" s="41">
        <v>2012</v>
      </c>
      <c r="G6" s="175" t="s">
        <v>90</v>
      </c>
      <c r="H6" s="41" t="s">
        <v>177</v>
      </c>
      <c r="I6" s="41" t="s">
        <v>91</v>
      </c>
      <c r="J6" s="41" t="s">
        <v>81</v>
      </c>
      <c r="K6" s="102">
        <v>900</v>
      </c>
      <c r="L6" s="41">
        <v>1.2E-2</v>
      </c>
      <c r="M6" s="41" t="s">
        <v>80</v>
      </c>
      <c r="N6" s="41" t="s">
        <v>88</v>
      </c>
      <c r="O6" s="147">
        <f>(79.3+63.2+79.4)/3</f>
        <v>73.966666666666669</v>
      </c>
      <c r="P6" s="199">
        <v>2.9999999999999992E-3</v>
      </c>
      <c r="Q6" s="195">
        <v>0.01</v>
      </c>
      <c r="R6" s="195">
        <v>2.3E-2</v>
      </c>
      <c r="S6" s="195">
        <v>3.1E-2</v>
      </c>
    </row>
    <row r="7" spans="1:19" ht="14.25" customHeight="1">
      <c r="A7" s="41" t="s">
        <v>94</v>
      </c>
      <c r="B7" s="41" t="s">
        <v>89</v>
      </c>
      <c r="C7" s="149" t="s">
        <v>107</v>
      </c>
      <c r="D7" s="92">
        <v>-49.951645643103269</v>
      </c>
      <c r="E7" s="92">
        <v>-22.214933000000002</v>
      </c>
      <c r="F7" s="41">
        <v>2012</v>
      </c>
      <c r="G7" s="175" t="s">
        <v>90</v>
      </c>
      <c r="H7" s="41" t="s">
        <v>177</v>
      </c>
      <c r="I7" s="41" t="s">
        <v>91</v>
      </c>
      <c r="J7" s="41" t="s">
        <v>81</v>
      </c>
      <c r="K7" s="102">
        <v>900</v>
      </c>
      <c r="L7" s="41">
        <v>1.2E-2</v>
      </c>
      <c r="M7" s="41" t="s">
        <v>80</v>
      </c>
      <c r="N7" s="41" t="s">
        <v>88</v>
      </c>
      <c r="O7" s="147">
        <f>(78.8+92.5+58.3)/3</f>
        <v>76.533333333333346</v>
      </c>
      <c r="P7" s="199">
        <v>2.0000000000000018E-3</v>
      </c>
      <c r="Q7" s="195">
        <v>8.0000000000000002E-3</v>
      </c>
      <c r="R7" s="195">
        <v>1.7000000000000001E-2</v>
      </c>
      <c r="S7" s="195">
        <v>2.3E-2</v>
      </c>
    </row>
    <row r="8" spans="1:19" ht="14.25" customHeight="1">
      <c r="A8" s="41" t="s">
        <v>94</v>
      </c>
      <c r="B8" s="41" t="s">
        <v>89</v>
      </c>
      <c r="C8" s="149" t="s">
        <v>127</v>
      </c>
      <c r="D8" s="92">
        <v>-46.922092505649722</v>
      </c>
      <c r="E8" s="92">
        <v>-23.449453000000005</v>
      </c>
      <c r="F8" s="41">
        <v>2012</v>
      </c>
      <c r="G8" s="175" t="s">
        <v>90</v>
      </c>
      <c r="H8" s="41" t="s">
        <v>177</v>
      </c>
      <c r="I8" s="41" t="s">
        <v>91</v>
      </c>
      <c r="J8" s="41" t="s">
        <v>81</v>
      </c>
      <c r="K8" s="102">
        <v>900</v>
      </c>
      <c r="L8" s="41">
        <v>1.2E-2</v>
      </c>
      <c r="M8" s="41" t="s">
        <v>80</v>
      </c>
      <c r="N8" s="41" t="s">
        <v>88</v>
      </c>
      <c r="O8" s="147">
        <f>(73.8+90.2+64.8)/3</f>
        <v>76.266666666666666</v>
      </c>
      <c r="P8" s="199">
        <v>9.9999999999999742E-4</v>
      </c>
      <c r="Q8" s="195">
        <v>8.9999999999999993E-3</v>
      </c>
      <c r="R8" s="195">
        <v>1.7999999999999999E-2</v>
      </c>
      <c r="S8" s="195">
        <v>2.5000000000000001E-2</v>
      </c>
    </row>
    <row r="9" spans="1:19" ht="14.25" customHeight="1">
      <c r="A9" s="41" t="s">
        <v>94</v>
      </c>
      <c r="B9" s="41" t="s">
        <v>89</v>
      </c>
      <c r="C9" s="149" t="s">
        <v>110</v>
      </c>
      <c r="D9" s="92">
        <v>-46.331370849190684</v>
      </c>
      <c r="E9" s="92">
        <v>-23.933737500000003</v>
      </c>
      <c r="F9" s="41">
        <v>2012</v>
      </c>
      <c r="G9" s="175" t="s">
        <v>90</v>
      </c>
      <c r="H9" s="41" t="s">
        <v>177</v>
      </c>
      <c r="I9" s="41" t="s">
        <v>91</v>
      </c>
      <c r="J9" s="41" t="s">
        <v>81</v>
      </c>
      <c r="K9" s="102">
        <v>1200</v>
      </c>
      <c r="L9" s="41">
        <v>1.2E-2</v>
      </c>
      <c r="M9" s="41" t="s">
        <v>80</v>
      </c>
      <c r="N9" s="41" t="s">
        <v>88</v>
      </c>
      <c r="O9" s="147">
        <f>(18.3+24.5+20+24.3)/4</f>
        <v>21.774999999999999</v>
      </c>
      <c r="P9" s="199">
        <v>9.9999999999999742E-4</v>
      </c>
      <c r="Q9" s="195">
        <v>1.4999999999999999E-2</v>
      </c>
      <c r="R9" s="195">
        <v>2.1999999999999999E-2</v>
      </c>
      <c r="S9" s="195">
        <v>2.5999999999999999E-2</v>
      </c>
    </row>
    <row r="10" spans="1:19" ht="14.25" customHeight="1">
      <c r="A10" s="41" t="s">
        <v>94</v>
      </c>
      <c r="B10" s="41" t="s">
        <v>89</v>
      </c>
      <c r="C10" s="149" t="s">
        <v>131</v>
      </c>
      <c r="D10" s="92">
        <v>-49.381347685025794</v>
      </c>
      <c r="E10" s="92">
        <v>-20.812636500000004</v>
      </c>
      <c r="F10" s="41">
        <v>2012</v>
      </c>
      <c r="G10" s="175" t="s">
        <v>90</v>
      </c>
      <c r="H10" s="41" t="s">
        <v>177</v>
      </c>
      <c r="I10" s="41" t="s">
        <v>91</v>
      </c>
      <c r="J10" s="41" t="s">
        <v>81</v>
      </c>
      <c r="K10" s="102">
        <v>1200</v>
      </c>
      <c r="L10" s="41">
        <v>1.2E-2</v>
      </c>
      <c r="M10" s="41" t="s">
        <v>80</v>
      </c>
      <c r="N10" s="41" t="s">
        <v>88</v>
      </c>
      <c r="O10" s="147">
        <f>(83.9+77.2+49.7+55.4)/4</f>
        <v>66.55</v>
      </c>
      <c r="P10" s="183">
        <v>1.1000000000000003E-3</v>
      </c>
      <c r="Q10" s="195">
        <v>0.01</v>
      </c>
      <c r="R10" s="195">
        <v>2.1000000000000001E-2</v>
      </c>
      <c r="S10" s="195">
        <v>2.8000000000000001E-2</v>
      </c>
    </row>
    <row r="11" spans="1:19" ht="14.25" customHeight="1">
      <c r="A11" s="41" t="s">
        <v>94</v>
      </c>
      <c r="B11" s="41" t="s">
        <v>89</v>
      </c>
      <c r="C11" s="149" t="s">
        <v>165</v>
      </c>
      <c r="D11" s="92">
        <v>-59.594559019496884</v>
      </c>
      <c r="E11" s="92">
        <v>-4.390619891472725</v>
      </c>
      <c r="F11" s="41">
        <v>2012</v>
      </c>
      <c r="G11" s="175" t="s">
        <v>90</v>
      </c>
      <c r="H11" s="41" t="s">
        <v>177</v>
      </c>
      <c r="I11" s="41" t="s">
        <v>91</v>
      </c>
      <c r="J11" s="41" t="s">
        <v>81</v>
      </c>
      <c r="K11" s="102">
        <v>1200</v>
      </c>
      <c r="L11" s="41">
        <v>1.2E-2</v>
      </c>
      <c r="M11" s="41" t="s">
        <v>80</v>
      </c>
      <c r="N11" s="41" t="s">
        <v>88</v>
      </c>
      <c r="O11" s="147">
        <f>(56.6+53.3+72.3+53.1)/4</f>
        <v>58.824999999999996</v>
      </c>
      <c r="P11" s="183">
        <v>9.9999999999999742E-4</v>
      </c>
      <c r="Q11" s="195">
        <v>1.0999999999999999E-2</v>
      </c>
      <c r="R11" s="195">
        <v>2.1999999999999999E-2</v>
      </c>
      <c r="S11" s="195">
        <v>0.03</v>
      </c>
    </row>
    <row r="12" spans="1:19" ht="14.25" customHeight="1">
      <c r="A12" s="41" t="s">
        <v>94</v>
      </c>
      <c r="B12" s="41" t="s">
        <v>89</v>
      </c>
      <c r="C12" s="149" t="s">
        <v>166</v>
      </c>
      <c r="D12" s="92">
        <v>-45.004168437028525</v>
      </c>
      <c r="E12" s="92">
        <v>-12.144924888390602</v>
      </c>
      <c r="F12" s="41">
        <v>2012</v>
      </c>
      <c r="G12" s="175" t="s">
        <v>90</v>
      </c>
      <c r="H12" s="41" t="s">
        <v>177</v>
      </c>
      <c r="I12" s="41" t="s">
        <v>91</v>
      </c>
      <c r="J12" s="41" t="s">
        <v>81</v>
      </c>
      <c r="K12" s="102">
        <v>900</v>
      </c>
      <c r="L12" s="41">
        <v>1.2E-2</v>
      </c>
      <c r="M12" s="41" t="s">
        <v>80</v>
      </c>
      <c r="N12" s="41" t="s">
        <v>88</v>
      </c>
      <c r="O12" s="147">
        <f>(39.2+50+46.5)/3</f>
        <v>45.233333333333327</v>
      </c>
      <c r="P12" s="183">
        <v>1.9999999999999983E-3</v>
      </c>
      <c r="Q12" s="195">
        <v>1.2999999999999999E-2</v>
      </c>
      <c r="R12" s="195">
        <v>2.7E-2</v>
      </c>
      <c r="S12" s="195">
        <v>3.6999999999999998E-2</v>
      </c>
    </row>
    <row r="13" spans="1:19" ht="14.25" customHeight="1">
      <c r="A13" s="41" t="s">
        <v>94</v>
      </c>
      <c r="B13" s="41" t="s">
        <v>89</v>
      </c>
      <c r="C13" s="149" t="s">
        <v>163</v>
      </c>
      <c r="D13" s="92">
        <v>-39.584171940986373</v>
      </c>
      <c r="E13" s="92">
        <v>-16.375167232256405</v>
      </c>
      <c r="F13" s="41">
        <v>2012</v>
      </c>
      <c r="G13" s="175" t="s">
        <v>90</v>
      </c>
      <c r="H13" s="41" t="s">
        <v>177</v>
      </c>
      <c r="I13" s="41" t="s">
        <v>91</v>
      </c>
      <c r="J13" s="41" t="s">
        <v>81</v>
      </c>
      <c r="K13" s="102">
        <v>900</v>
      </c>
      <c r="L13" s="41">
        <v>1.2E-2</v>
      </c>
      <c r="M13" s="41" t="s">
        <v>80</v>
      </c>
      <c r="N13" s="41" t="s">
        <v>88</v>
      </c>
      <c r="O13" s="147">
        <f>(2.6+2.5+5.8)/3</f>
        <v>3.6333333333333329</v>
      </c>
      <c r="P13" s="183">
        <v>7.999999999999996E-2</v>
      </c>
      <c r="Q13" s="195">
        <v>0.14000000000000001</v>
      </c>
      <c r="R13" s="195">
        <v>0.71</v>
      </c>
      <c r="S13" s="195">
        <v>1.4</v>
      </c>
    </row>
    <row r="14" spans="1:19" ht="14.25" customHeight="1">
      <c r="A14" s="41" t="s">
        <v>94</v>
      </c>
      <c r="B14" s="41" t="s">
        <v>89</v>
      </c>
      <c r="C14" s="149" t="s">
        <v>167</v>
      </c>
      <c r="D14" s="92">
        <v>-43.218696264965466</v>
      </c>
      <c r="E14" s="92">
        <v>-12.184013569044852</v>
      </c>
      <c r="F14" s="41">
        <v>2012</v>
      </c>
      <c r="G14" s="175" t="s">
        <v>90</v>
      </c>
      <c r="H14" s="41" t="s">
        <v>177</v>
      </c>
      <c r="I14" s="41" t="s">
        <v>91</v>
      </c>
      <c r="J14" s="41" t="s">
        <v>81</v>
      </c>
      <c r="K14" s="102">
        <v>900</v>
      </c>
      <c r="L14" s="41">
        <v>1.2E-2</v>
      </c>
      <c r="M14" s="41" t="s">
        <v>80</v>
      </c>
      <c r="N14" s="41" t="s">
        <v>88</v>
      </c>
      <c r="O14" s="147">
        <f>(1.7+0+1.7)/3</f>
        <v>1.1333333333333333</v>
      </c>
      <c r="P14" s="183">
        <v>2.9999999999999957E-3</v>
      </c>
      <c r="Q14" s="195">
        <v>3.5000000000000003E-2</v>
      </c>
      <c r="R14" s="195">
        <v>5.2999999999999999E-2</v>
      </c>
      <c r="S14" s="195">
        <v>6.3E-2</v>
      </c>
    </row>
    <row r="15" spans="1:19" ht="14.25" customHeight="1">
      <c r="A15" s="41" t="s">
        <v>94</v>
      </c>
      <c r="B15" s="41" t="s">
        <v>89</v>
      </c>
      <c r="C15" s="149" t="s">
        <v>168</v>
      </c>
      <c r="D15" s="92">
        <v>-40.088607327476304</v>
      </c>
      <c r="E15" s="92">
        <v>-13.855664007664052</v>
      </c>
      <c r="F15" s="41">
        <v>2012</v>
      </c>
      <c r="G15" s="175" t="s">
        <v>90</v>
      </c>
      <c r="H15" s="41" t="s">
        <v>177</v>
      </c>
      <c r="I15" s="41" t="s">
        <v>91</v>
      </c>
      <c r="J15" s="41" t="s">
        <v>81</v>
      </c>
      <c r="K15" s="102">
        <v>1200</v>
      </c>
      <c r="L15" s="41">
        <v>1.2E-2</v>
      </c>
      <c r="M15" s="41" t="s">
        <v>80</v>
      </c>
      <c r="N15" s="41" t="s">
        <v>88</v>
      </c>
      <c r="O15" s="147">
        <f>(3)</f>
        <v>3</v>
      </c>
      <c r="P15" s="183">
        <v>0.18999999999999995</v>
      </c>
      <c r="Q15" s="195">
        <v>0.22</v>
      </c>
      <c r="R15" s="195">
        <v>0.83</v>
      </c>
      <c r="S15" s="195">
        <v>1.91</v>
      </c>
    </row>
    <row r="16" spans="1:19" ht="14.25" customHeight="1">
      <c r="A16" s="41" t="s">
        <v>94</v>
      </c>
      <c r="B16" s="41" t="s">
        <v>89</v>
      </c>
      <c r="C16" s="149" t="s">
        <v>164</v>
      </c>
      <c r="D16" s="92">
        <v>-38.21832896822621</v>
      </c>
      <c r="E16" s="92">
        <v>-9.4033316973782313</v>
      </c>
      <c r="F16" s="41">
        <v>2012</v>
      </c>
      <c r="G16" s="175" t="s">
        <v>90</v>
      </c>
      <c r="H16" s="41" t="s">
        <v>177</v>
      </c>
      <c r="I16" s="41" t="s">
        <v>91</v>
      </c>
      <c r="J16" s="41" t="s">
        <v>81</v>
      </c>
      <c r="K16" s="102">
        <v>600</v>
      </c>
      <c r="L16" s="41">
        <v>1.2E-2</v>
      </c>
      <c r="M16" s="41" t="s">
        <v>80</v>
      </c>
      <c r="N16" s="41" t="s">
        <v>88</v>
      </c>
      <c r="O16" s="147">
        <f>(7.3+5)/2</f>
        <v>6.15</v>
      </c>
      <c r="P16" s="183">
        <v>7.999999999999996E-2</v>
      </c>
      <c r="Q16" s="195">
        <v>0.15</v>
      </c>
      <c r="R16" s="195">
        <v>0.62</v>
      </c>
      <c r="S16" s="195">
        <v>1.1000000000000001</v>
      </c>
    </row>
    <row r="17" spans="1:19" ht="14.25" customHeight="1">
      <c r="A17" s="41" t="s">
        <v>94</v>
      </c>
      <c r="B17" s="41" t="s">
        <v>89</v>
      </c>
      <c r="C17" s="149" t="s">
        <v>169</v>
      </c>
      <c r="D17" s="92">
        <v>-35.50134323404064</v>
      </c>
      <c r="E17" s="92">
        <v>-6.2770915257477062</v>
      </c>
      <c r="F17" s="41">
        <v>2012</v>
      </c>
      <c r="G17" s="175" t="s">
        <v>90</v>
      </c>
      <c r="H17" s="41" t="s">
        <v>177</v>
      </c>
      <c r="I17" s="41" t="s">
        <v>91</v>
      </c>
      <c r="J17" s="41" t="s">
        <v>81</v>
      </c>
      <c r="K17" s="102">
        <v>1500</v>
      </c>
      <c r="L17" s="41">
        <v>1.2E-2</v>
      </c>
      <c r="M17" s="41" t="s">
        <v>80</v>
      </c>
      <c r="N17" s="41" t="s">
        <v>88</v>
      </c>
      <c r="O17" s="147">
        <f>(2.6)</f>
        <v>2.6</v>
      </c>
      <c r="P17" s="183">
        <v>9.000000000000008E-2</v>
      </c>
      <c r="Q17" s="195">
        <v>0.51</v>
      </c>
      <c r="R17" s="195">
        <v>1.3</v>
      </c>
      <c r="S17" s="195">
        <v>1.92</v>
      </c>
    </row>
    <row r="18" spans="1:19" ht="14.25" customHeight="1">
      <c r="A18" s="41" t="s">
        <v>94</v>
      </c>
      <c r="B18" s="41" t="s">
        <v>89</v>
      </c>
      <c r="C18" s="149" t="s">
        <v>141</v>
      </c>
      <c r="D18" s="92">
        <v>-47.887905478031342</v>
      </c>
      <c r="E18" s="92">
        <v>-15.794087361891002</v>
      </c>
      <c r="F18" s="41">
        <v>2012</v>
      </c>
      <c r="G18" s="175" t="s">
        <v>90</v>
      </c>
      <c r="H18" s="41" t="s">
        <v>177</v>
      </c>
      <c r="I18" s="41" t="s">
        <v>91</v>
      </c>
      <c r="J18" s="41" t="s">
        <v>81</v>
      </c>
      <c r="K18" s="102">
        <v>1200</v>
      </c>
      <c r="L18" s="41">
        <v>1.2E-2</v>
      </c>
      <c r="M18" s="41" t="s">
        <v>80</v>
      </c>
      <c r="N18" s="41" t="s">
        <v>88</v>
      </c>
      <c r="O18" s="147">
        <f>(45.6+59.4+34.4+62.5)/4</f>
        <v>50.475000000000001</v>
      </c>
      <c r="P18" s="183">
        <v>1.9999999999999983E-3</v>
      </c>
      <c r="Q18" s="195">
        <v>1.2999999999999999E-2</v>
      </c>
      <c r="R18" s="195">
        <v>2.7E-2</v>
      </c>
      <c r="S18" s="195">
        <v>3.5999999999999997E-2</v>
      </c>
    </row>
    <row r="19" spans="1:19" ht="14.25" customHeight="1">
      <c r="A19" s="41" t="s">
        <v>94</v>
      </c>
      <c r="B19" s="41" t="s">
        <v>89</v>
      </c>
      <c r="C19" s="149" t="s">
        <v>170</v>
      </c>
      <c r="D19" s="92">
        <v>-57.648985457340132</v>
      </c>
      <c r="E19" s="92">
        <v>-19.006374654645803</v>
      </c>
      <c r="F19" s="41">
        <v>2012</v>
      </c>
      <c r="G19" s="175" t="s">
        <v>90</v>
      </c>
      <c r="H19" s="41" t="s">
        <v>177</v>
      </c>
      <c r="I19" s="41" t="s">
        <v>91</v>
      </c>
      <c r="J19" s="41" t="s">
        <v>81</v>
      </c>
      <c r="K19" s="102">
        <v>1200</v>
      </c>
      <c r="L19" s="41">
        <v>1.2E-2</v>
      </c>
      <c r="M19" s="41" t="s">
        <v>80</v>
      </c>
      <c r="N19" s="41" t="s">
        <v>88</v>
      </c>
      <c r="O19" s="147">
        <f>(26.4+19.1+87.4+50.6)/4</f>
        <v>45.875</v>
      </c>
      <c r="P19" s="183">
        <v>2.9999999999999992E-3</v>
      </c>
      <c r="Q19" s="195">
        <v>1.2999999999999999E-2</v>
      </c>
      <c r="R19" s="195">
        <v>2.4E-2</v>
      </c>
      <c r="S19" s="195">
        <v>3.2000000000000001E-2</v>
      </c>
    </row>
    <row r="20" spans="1:19" s="201" customFormat="1" ht="14.25" customHeight="1" thickBot="1">
      <c r="A20" s="167" t="s">
        <v>94</v>
      </c>
      <c r="B20" s="167" t="s">
        <v>89</v>
      </c>
      <c r="C20" s="148" t="s">
        <v>120</v>
      </c>
      <c r="D20" s="93">
        <v>-42.805270458223347</v>
      </c>
      <c r="E20" s="93">
        <v>-5.0863419523217006</v>
      </c>
      <c r="F20" s="167">
        <v>2012</v>
      </c>
      <c r="G20" s="176" t="s">
        <v>90</v>
      </c>
      <c r="H20" s="167" t="s">
        <v>177</v>
      </c>
      <c r="I20" s="167" t="s">
        <v>91</v>
      </c>
      <c r="J20" s="167" t="s">
        <v>81</v>
      </c>
      <c r="K20" s="104">
        <v>600</v>
      </c>
      <c r="L20" s="167">
        <v>1.2E-2</v>
      </c>
      <c r="M20" s="167" t="s">
        <v>80</v>
      </c>
      <c r="N20" s="167" t="s">
        <v>88</v>
      </c>
      <c r="O20" s="177">
        <f>(5)</f>
        <v>5</v>
      </c>
      <c r="P20" s="198">
        <v>1.2999999999999998E-2</v>
      </c>
      <c r="Q20" s="196">
        <v>4.2999999999999997E-2</v>
      </c>
      <c r="R20" s="196">
        <v>0.11</v>
      </c>
      <c r="S20" s="196">
        <v>0.17</v>
      </c>
    </row>
    <row r="21" spans="1:19" ht="14.25" customHeight="1">
      <c r="A21" s="41" t="s">
        <v>94</v>
      </c>
      <c r="B21" s="41" t="s">
        <v>89</v>
      </c>
      <c r="C21" s="178" t="s">
        <v>124</v>
      </c>
      <c r="D21" s="268"/>
      <c r="E21" s="269"/>
      <c r="F21" s="41">
        <v>2012</v>
      </c>
      <c r="G21" s="175" t="s">
        <v>90</v>
      </c>
      <c r="H21" s="172" t="s">
        <v>177</v>
      </c>
      <c r="I21" s="41" t="s">
        <v>91</v>
      </c>
      <c r="J21" s="102" t="s">
        <v>92</v>
      </c>
      <c r="K21" s="102">
        <v>1200</v>
      </c>
      <c r="L21" s="102">
        <v>0.01</v>
      </c>
      <c r="M21" s="41" t="s">
        <v>80</v>
      </c>
      <c r="N21" s="41" t="s">
        <v>88</v>
      </c>
      <c r="O21" s="146">
        <v>100</v>
      </c>
      <c r="P21" s="183">
        <v>2.0000000000000009E-4</v>
      </c>
      <c r="Q21" s="179">
        <v>2.5000000000000001E-3</v>
      </c>
      <c r="R21" s="179">
        <v>3.5999999999999999E-3</v>
      </c>
      <c r="S21" s="179">
        <v>4.1999999999999997E-3</v>
      </c>
    </row>
    <row r="22" spans="1:19" ht="14.25" customHeight="1">
      <c r="A22" s="41" t="s">
        <v>94</v>
      </c>
      <c r="B22" s="41" t="s">
        <v>89</v>
      </c>
      <c r="C22" s="149" t="s">
        <v>101</v>
      </c>
      <c r="D22" s="92">
        <v>-48.567377839455055</v>
      </c>
      <c r="E22" s="92">
        <v>-20.558455515000002</v>
      </c>
      <c r="F22" s="41">
        <v>2012</v>
      </c>
      <c r="G22" s="175" t="s">
        <v>90</v>
      </c>
      <c r="H22" s="172" t="s">
        <v>177</v>
      </c>
      <c r="I22" s="41" t="s">
        <v>91</v>
      </c>
      <c r="J22" s="102" t="s">
        <v>92</v>
      </c>
      <c r="K22" s="102">
        <v>1200</v>
      </c>
      <c r="L22" s="102">
        <v>0.01</v>
      </c>
      <c r="M22" s="41" t="s">
        <v>80</v>
      </c>
      <c r="N22" s="41" t="s">
        <v>88</v>
      </c>
      <c r="O22" s="147">
        <v>85.427196237464756</v>
      </c>
      <c r="P22" s="197">
        <v>1E-4</v>
      </c>
      <c r="Q22" s="179">
        <v>0.05</v>
      </c>
      <c r="R22" s="179">
        <v>0.11</v>
      </c>
      <c r="S22" s="179">
        <v>0.16</v>
      </c>
    </row>
    <row r="23" spans="1:19" ht="14.25" customHeight="1">
      <c r="A23" s="41" t="s">
        <v>94</v>
      </c>
      <c r="B23" s="41" t="s">
        <v>89</v>
      </c>
      <c r="C23" s="149" t="s">
        <v>103</v>
      </c>
      <c r="D23" s="92">
        <v>-48.441289384350434</v>
      </c>
      <c r="E23" s="92">
        <v>-22.888381500000008</v>
      </c>
      <c r="F23" s="41">
        <v>2012</v>
      </c>
      <c r="G23" s="175" t="s">
        <v>90</v>
      </c>
      <c r="H23" s="172" t="s">
        <v>177</v>
      </c>
      <c r="I23" s="41" t="s">
        <v>91</v>
      </c>
      <c r="J23" s="102" t="s">
        <v>92</v>
      </c>
      <c r="K23" s="102">
        <v>900</v>
      </c>
      <c r="L23" s="102">
        <v>0.01</v>
      </c>
      <c r="M23" s="41" t="s">
        <v>80</v>
      </c>
      <c r="N23" s="41" t="s">
        <v>88</v>
      </c>
      <c r="O23" s="147">
        <v>94.312753886704741</v>
      </c>
      <c r="P23" s="183">
        <v>5.0000000000000044E-4</v>
      </c>
      <c r="Q23" s="179">
        <v>0.05</v>
      </c>
      <c r="R23" s="179">
        <v>0.11</v>
      </c>
      <c r="S23" s="179">
        <v>0.16</v>
      </c>
    </row>
    <row r="24" spans="1:19" ht="14.25" customHeight="1">
      <c r="A24" s="41" t="s">
        <v>94</v>
      </c>
      <c r="B24" s="41" t="s">
        <v>89</v>
      </c>
      <c r="C24" s="149" t="s">
        <v>106</v>
      </c>
      <c r="D24" s="92">
        <v>-46.933372863488053</v>
      </c>
      <c r="E24" s="92">
        <v>-23.546934000000004</v>
      </c>
      <c r="F24" s="41">
        <v>2012</v>
      </c>
      <c r="G24" s="175" t="s">
        <v>90</v>
      </c>
      <c r="H24" s="41" t="s">
        <v>177</v>
      </c>
      <c r="I24" s="41" t="s">
        <v>91</v>
      </c>
      <c r="J24" s="102" t="s">
        <v>92</v>
      </c>
      <c r="K24" s="102">
        <v>1200</v>
      </c>
      <c r="L24" s="102">
        <v>0.01</v>
      </c>
      <c r="M24" s="41" t="s">
        <v>80</v>
      </c>
      <c r="N24" s="41" t="s">
        <v>88</v>
      </c>
      <c r="O24" s="147">
        <v>94.906758519945384</v>
      </c>
      <c r="P24" s="183">
        <v>3.9999999999999931E-4</v>
      </c>
      <c r="Q24" s="179">
        <v>0.05</v>
      </c>
      <c r="R24" s="179">
        <v>0.12</v>
      </c>
      <c r="S24" s="179">
        <v>0.17</v>
      </c>
    </row>
    <row r="25" spans="1:19" ht="14.25" customHeight="1">
      <c r="A25" s="41" t="s">
        <v>94</v>
      </c>
      <c r="B25" s="41" t="s">
        <v>89</v>
      </c>
      <c r="C25" s="149" t="s">
        <v>127</v>
      </c>
      <c r="D25" s="92">
        <v>-46.922092505649722</v>
      </c>
      <c r="E25" s="92">
        <v>-23.449453000000005</v>
      </c>
      <c r="F25" s="41">
        <v>2012</v>
      </c>
      <c r="G25" s="175" t="s">
        <v>90</v>
      </c>
      <c r="H25" s="41" t="s">
        <v>177</v>
      </c>
      <c r="I25" s="41" t="s">
        <v>91</v>
      </c>
      <c r="J25" s="102" t="s">
        <v>92</v>
      </c>
      <c r="K25" s="102">
        <v>1500</v>
      </c>
      <c r="L25" s="102">
        <v>0.01</v>
      </c>
      <c r="M25" s="41" t="s">
        <v>80</v>
      </c>
      <c r="N25" s="41" t="s">
        <v>88</v>
      </c>
      <c r="O25" s="147">
        <v>97.189478325001758</v>
      </c>
      <c r="P25" s="183">
        <v>5.9999999999999984E-4</v>
      </c>
      <c r="Q25" s="179">
        <v>0.05</v>
      </c>
      <c r="R25" s="179">
        <v>0.13</v>
      </c>
      <c r="S25" s="179">
        <v>0.2</v>
      </c>
    </row>
    <row r="26" spans="1:19" ht="14.25" customHeight="1">
      <c r="A26" s="41" t="s">
        <v>94</v>
      </c>
      <c r="B26" s="41" t="s">
        <v>89</v>
      </c>
      <c r="C26" s="149" t="s">
        <v>131</v>
      </c>
      <c r="D26" s="92">
        <v>-49.381347685025794</v>
      </c>
      <c r="E26" s="92">
        <v>-20.812636500000004</v>
      </c>
      <c r="F26" s="41">
        <v>2012</v>
      </c>
      <c r="G26" s="175" t="s">
        <v>90</v>
      </c>
      <c r="H26" s="41" t="s">
        <v>177</v>
      </c>
      <c r="I26" s="41" t="s">
        <v>91</v>
      </c>
      <c r="J26" s="102" t="s">
        <v>92</v>
      </c>
      <c r="K26" s="102">
        <v>1200</v>
      </c>
      <c r="L26" s="102">
        <v>0.01</v>
      </c>
      <c r="M26" s="41" t="s">
        <v>80</v>
      </c>
      <c r="N26" s="41" t="s">
        <v>88</v>
      </c>
      <c r="O26" s="147">
        <v>81.70941724386276</v>
      </c>
      <c r="P26" s="183">
        <v>9.9999999999999915E-4</v>
      </c>
      <c r="Q26" s="179">
        <v>7.0000000000000007E-2</v>
      </c>
      <c r="R26" s="179">
        <v>0.14000000000000001</v>
      </c>
      <c r="S26" s="179">
        <v>0.18</v>
      </c>
    </row>
    <row r="27" spans="1:19" ht="14.25" customHeight="1">
      <c r="A27" s="41" t="s">
        <v>94</v>
      </c>
      <c r="B27" s="41" t="s">
        <v>89</v>
      </c>
      <c r="C27" s="149" t="s">
        <v>165</v>
      </c>
      <c r="D27" s="92">
        <v>-59.594559019496884</v>
      </c>
      <c r="E27" s="92">
        <v>-4.390619891472725</v>
      </c>
      <c r="F27" s="41">
        <v>2012</v>
      </c>
      <c r="G27" s="175" t="s">
        <v>90</v>
      </c>
      <c r="H27" s="41" t="s">
        <v>177</v>
      </c>
      <c r="I27" s="41" t="s">
        <v>91</v>
      </c>
      <c r="J27" s="102" t="s">
        <v>92</v>
      </c>
      <c r="K27" s="102">
        <v>1200</v>
      </c>
      <c r="L27" s="102">
        <v>0.01</v>
      </c>
      <c r="M27" s="41" t="s">
        <v>80</v>
      </c>
      <c r="N27" s="41" t="s">
        <v>88</v>
      </c>
      <c r="O27" s="147">
        <v>99.597225131874012</v>
      </c>
      <c r="P27" s="183">
        <v>2.9999999999999992E-4</v>
      </c>
      <c r="Q27" s="179">
        <v>0.06</v>
      </c>
      <c r="R27" s="179">
        <v>0.12</v>
      </c>
      <c r="S27" s="179">
        <v>0.16</v>
      </c>
    </row>
    <row r="28" spans="1:19" ht="14.25" customHeight="1">
      <c r="A28" s="41" t="s">
        <v>94</v>
      </c>
      <c r="B28" s="41" t="s">
        <v>89</v>
      </c>
      <c r="C28" s="149" t="s">
        <v>166</v>
      </c>
      <c r="D28" s="92">
        <v>-45.004168437028525</v>
      </c>
      <c r="E28" s="92">
        <v>-12.144924888390602</v>
      </c>
      <c r="F28" s="41">
        <v>2012</v>
      </c>
      <c r="G28" s="175" t="s">
        <v>90</v>
      </c>
      <c r="H28" s="41" t="s">
        <v>177</v>
      </c>
      <c r="I28" s="41" t="s">
        <v>91</v>
      </c>
      <c r="J28" s="102" t="s">
        <v>92</v>
      </c>
      <c r="K28" s="102">
        <v>900</v>
      </c>
      <c r="L28" s="102">
        <v>0.01</v>
      </c>
      <c r="M28" s="41" t="s">
        <v>80</v>
      </c>
      <c r="N28" s="41" t="s">
        <v>88</v>
      </c>
      <c r="O28" s="147">
        <v>81.1247626851452</v>
      </c>
      <c r="P28" s="179">
        <v>9.9999999999999915E-4</v>
      </c>
      <c r="Q28" s="179">
        <v>7.0000000000000007E-2</v>
      </c>
      <c r="R28" s="179">
        <v>0.12</v>
      </c>
      <c r="S28" s="179">
        <v>0.15</v>
      </c>
    </row>
    <row r="29" spans="1:19" ht="14.25" customHeight="1">
      <c r="A29" s="41" t="s">
        <v>94</v>
      </c>
      <c r="B29" s="41" t="s">
        <v>89</v>
      </c>
      <c r="C29" s="149" t="s">
        <v>163</v>
      </c>
      <c r="D29" s="92">
        <v>-39.584171940986373</v>
      </c>
      <c r="E29" s="92">
        <v>-16.375167232256405</v>
      </c>
      <c r="F29" s="41">
        <v>2012</v>
      </c>
      <c r="G29" s="175" t="s">
        <v>90</v>
      </c>
      <c r="H29" s="41" t="s">
        <v>177</v>
      </c>
      <c r="I29" s="41" t="s">
        <v>91</v>
      </c>
      <c r="J29" s="102" t="s">
        <v>92</v>
      </c>
      <c r="K29" s="102">
        <v>1200</v>
      </c>
      <c r="L29" s="102">
        <v>0.01</v>
      </c>
      <c r="M29" s="41" t="s">
        <v>80</v>
      </c>
      <c r="N29" s="41" t="s">
        <v>88</v>
      </c>
      <c r="O29" s="147">
        <v>24.899966582392132</v>
      </c>
      <c r="P29" s="183">
        <v>2.9999999999999957E-3</v>
      </c>
      <c r="Q29" s="179">
        <v>7.0000000000000007E-2</v>
      </c>
      <c r="R29" s="179">
        <v>0.14000000000000001</v>
      </c>
      <c r="S29" s="179">
        <v>0.18</v>
      </c>
    </row>
    <row r="30" spans="1:19" ht="14.25" customHeight="1">
      <c r="A30" s="41" t="s">
        <v>94</v>
      </c>
      <c r="B30" s="41" t="s">
        <v>89</v>
      </c>
      <c r="C30" s="149" t="s">
        <v>167</v>
      </c>
      <c r="D30" s="92">
        <v>-43.218696264965466</v>
      </c>
      <c r="E30" s="92">
        <v>-12.184013569044852</v>
      </c>
      <c r="F30" s="41">
        <v>2012</v>
      </c>
      <c r="G30" s="175" t="s">
        <v>90</v>
      </c>
      <c r="H30" s="41" t="s">
        <v>177</v>
      </c>
      <c r="I30" s="41" t="s">
        <v>91</v>
      </c>
      <c r="J30" s="102" t="s">
        <v>92</v>
      </c>
      <c r="K30" s="102">
        <v>1200</v>
      </c>
      <c r="L30" s="102">
        <v>0.01</v>
      </c>
      <c r="M30" s="41" t="s">
        <v>80</v>
      </c>
      <c r="N30" s="41" t="s">
        <v>88</v>
      </c>
      <c r="O30" s="147">
        <v>50.631184993934852</v>
      </c>
      <c r="P30" s="183">
        <v>1.0000000000000009E-3</v>
      </c>
      <c r="Q30" s="197">
        <v>0.06</v>
      </c>
      <c r="R30" s="197">
        <v>0.11</v>
      </c>
      <c r="S30" s="197">
        <v>0</v>
      </c>
    </row>
    <row r="31" spans="1:19" ht="14.25" customHeight="1">
      <c r="A31" s="41" t="s">
        <v>94</v>
      </c>
      <c r="B31" s="41" t="s">
        <v>89</v>
      </c>
      <c r="C31" s="149" t="s">
        <v>168</v>
      </c>
      <c r="D31" s="92">
        <v>-40.088607327476304</v>
      </c>
      <c r="E31" s="92">
        <v>-13.855664007664052</v>
      </c>
      <c r="F31" s="41">
        <v>2012</v>
      </c>
      <c r="G31" s="175" t="s">
        <v>90</v>
      </c>
      <c r="H31" s="41" t="s">
        <v>177</v>
      </c>
      <c r="I31" s="41" t="s">
        <v>91</v>
      </c>
      <c r="J31" s="102" t="s">
        <v>92</v>
      </c>
      <c r="K31" s="102">
        <v>1200</v>
      </c>
      <c r="L31" s="102">
        <v>0.01</v>
      </c>
      <c r="M31" s="41" t="s">
        <v>80</v>
      </c>
      <c r="N31" s="41" t="s">
        <v>88</v>
      </c>
      <c r="O31" s="147">
        <v>1.0446368407230899</v>
      </c>
      <c r="P31" s="183">
        <v>2.0000000000000018E-3</v>
      </c>
      <c r="Q31" s="197">
        <v>0.06</v>
      </c>
      <c r="R31" s="197">
        <v>0.21</v>
      </c>
      <c r="S31" s="197">
        <v>0.14000000000000001</v>
      </c>
    </row>
    <row r="32" spans="1:19" ht="14.25" customHeight="1">
      <c r="A32" s="41" t="s">
        <v>94</v>
      </c>
      <c r="B32" s="41" t="s">
        <v>89</v>
      </c>
      <c r="C32" s="149" t="s">
        <v>164</v>
      </c>
      <c r="D32" s="92">
        <v>-38.21832896822621</v>
      </c>
      <c r="E32" s="92">
        <v>-9.4033316973782313</v>
      </c>
      <c r="F32" s="41">
        <v>2012</v>
      </c>
      <c r="G32" s="175" t="s">
        <v>90</v>
      </c>
      <c r="H32" s="41" t="s">
        <v>177</v>
      </c>
      <c r="I32" s="41" t="s">
        <v>91</v>
      </c>
      <c r="J32" s="102" t="s">
        <v>92</v>
      </c>
      <c r="K32" s="102">
        <v>900</v>
      </c>
      <c r="L32" s="102">
        <v>0.01</v>
      </c>
      <c r="M32" s="41" t="s">
        <v>80</v>
      </c>
      <c r="N32" s="41" t="s">
        <v>88</v>
      </c>
      <c r="O32" s="147">
        <v>7.7556912022374913</v>
      </c>
      <c r="P32" s="183">
        <v>6.9999999999999993E-3</v>
      </c>
      <c r="Q32" s="197">
        <v>7.0000000000000007E-2</v>
      </c>
      <c r="R32" s="197">
        <v>0.14000000000000001</v>
      </c>
      <c r="S32" s="197">
        <v>0.18</v>
      </c>
    </row>
    <row r="33" spans="1:19" ht="14.25" customHeight="1">
      <c r="A33" s="41" t="s">
        <v>94</v>
      </c>
      <c r="B33" s="41" t="s">
        <v>89</v>
      </c>
      <c r="C33" s="149" t="s">
        <v>169</v>
      </c>
      <c r="D33" s="92">
        <v>-35.50134323404064</v>
      </c>
      <c r="E33" s="92">
        <v>-6.2770915257477062</v>
      </c>
      <c r="F33" s="41">
        <v>2012</v>
      </c>
      <c r="G33" s="175" t="s">
        <v>90</v>
      </c>
      <c r="H33" s="41" t="s">
        <v>177</v>
      </c>
      <c r="I33" s="41" t="s">
        <v>91</v>
      </c>
      <c r="J33" s="102" t="s">
        <v>92</v>
      </c>
      <c r="K33" s="102">
        <v>1800</v>
      </c>
      <c r="L33" s="102">
        <v>0.01</v>
      </c>
      <c r="M33" s="41" t="s">
        <v>80</v>
      </c>
      <c r="N33" s="41" t="s">
        <v>88</v>
      </c>
      <c r="O33" s="147">
        <v>0.62948670779151561</v>
      </c>
      <c r="P33" s="183">
        <v>5.2999999999999992E-3</v>
      </c>
      <c r="Q33" s="197">
        <v>0.1</v>
      </c>
      <c r="R33" s="197">
        <v>0.18</v>
      </c>
      <c r="S33" s="197">
        <v>0.22</v>
      </c>
    </row>
    <row r="34" spans="1:19" s="201" customFormat="1" ht="14.25" customHeight="1">
      <c r="A34" s="41" t="s">
        <v>94</v>
      </c>
      <c r="B34" s="41" t="s">
        <v>89</v>
      </c>
      <c r="C34" s="149" t="s">
        <v>141</v>
      </c>
      <c r="D34" s="92">
        <v>-47.887905478031342</v>
      </c>
      <c r="E34" s="92">
        <v>-15.794087361891002</v>
      </c>
      <c r="F34" s="41">
        <v>2012</v>
      </c>
      <c r="G34" s="175" t="s">
        <v>90</v>
      </c>
      <c r="H34" s="41" t="s">
        <v>177</v>
      </c>
      <c r="I34" s="41" t="s">
        <v>91</v>
      </c>
      <c r="J34" s="102" t="s">
        <v>92</v>
      </c>
      <c r="K34" s="102">
        <v>900</v>
      </c>
      <c r="L34" s="102">
        <v>0.01</v>
      </c>
      <c r="M34" s="41" t="s">
        <v>80</v>
      </c>
      <c r="N34" s="41" t="s">
        <v>88</v>
      </c>
      <c r="O34" s="147">
        <v>78.7</v>
      </c>
      <c r="P34" s="197">
        <v>9.9999999999999915E-4</v>
      </c>
      <c r="Q34" s="197">
        <v>6.7999999999999996E-3</v>
      </c>
      <c r="R34" s="197">
        <v>1.2999999999999999E-2</v>
      </c>
      <c r="S34" s="197">
        <v>1.7999999999999999E-2</v>
      </c>
    </row>
    <row r="35" spans="1:19" ht="14.25" customHeight="1">
      <c r="A35" s="41" t="s">
        <v>94</v>
      </c>
      <c r="B35" s="41" t="s">
        <v>89</v>
      </c>
      <c r="C35" s="149" t="s">
        <v>170</v>
      </c>
      <c r="D35" s="92">
        <v>-57.648985457340132</v>
      </c>
      <c r="E35" s="92">
        <v>-19.006374654645803</v>
      </c>
      <c r="F35" s="41">
        <v>2012</v>
      </c>
      <c r="G35" s="175" t="s">
        <v>90</v>
      </c>
      <c r="H35" s="41" t="s">
        <v>177</v>
      </c>
      <c r="I35" s="41" t="s">
        <v>91</v>
      </c>
      <c r="J35" s="102" t="s">
        <v>92</v>
      </c>
      <c r="K35" s="102">
        <v>900</v>
      </c>
      <c r="L35" s="102">
        <v>0.01</v>
      </c>
      <c r="M35" s="41" t="s">
        <v>80</v>
      </c>
      <c r="N35" s="41" t="s">
        <v>88</v>
      </c>
      <c r="O35" s="102">
        <v>77.800000000000011</v>
      </c>
      <c r="P35" s="179">
        <v>1.0000000000000009E-3</v>
      </c>
      <c r="Q35" s="179">
        <v>7.0000000000000007E-2</v>
      </c>
      <c r="R35" s="179">
        <v>0.13</v>
      </c>
      <c r="S35" s="179">
        <v>0.17</v>
      </c>
    </row>
    <row r="36" spans="1:19" ht="14.25" customHeight="1" thickBot="1">
      <c r="A36" s="167" t="s">
        <v>94</v>
      </c>
      <c r="B36" s="167" t="s">
        <v>89</v>
      </c>
      <c r="C36" s="149" t="s">
        <v>120</v>
      </c>
      <c r="D36" s="93">
        <v>-42.805270458223347</v>
      </c>
      <c r="E36" s="93">
        <v>-5.0863419523217006</v>
      </c>
      <c r="F36" s="41">
        <v>2012</v>
      </c>
      <c r="G36" s="175" t="s">
        <v>90</v>
      </c>
      <c r="H36" s="167" t="s">
        <v>177</v>
      </c>
      <c r="I36" s="41" t="s">
        <v>91</v>
      </c>
      <c r="J36" s="102" t="s">
        <v>92</v>
      </c>
      <c r="K36" s="104">
        <v>1200</v>
      </c>
      <c r="L36" s="102">
        <v>0.01</v>
      </c>
      <c r="M36" s="41" t="s">
        <v>80</v>
      </c>
      <c r="N36" s="41" t="s">
        <v>88</v>
      </c>
      <c r="O36" s="147">
        <v>53.242335623631078</v>
      </c>
      <c r="P36" s="198">
        <v>2.0000000000000018E-3</v>
      </c>
      <c r="Q36" s="179">
        <v>0.06</v>
      </c>
      <c r="R36" s="179">
        <v>0.1</v>
      </c>
      <c r="S36" s="179">
        <v>0.12</v>
      </c>
    </row>
    <row r="37" spans="1:19" ht="14.25" customHeight="1">
      <c r="A37" s="41" t="s">
        <v>94</v>
      </c>
      <c r="B37" s="41" t="s">
        <v>89</v>
      </c>
      <c r="C37" s="169" t="s">
        <v>124</v>
      </c>
      <c r="D37" s="268"/>
      <c r="E37" s="269"/>
      <c r="F37" s="170">
        <v>2012</v>
      </c>
      <c r="G37" s="171" t="s">
        <v>90</v>
      </c>
      <c r="H37" s="41" t="s">
        <v>177</v>
      </c>
      <c r="I37" s="170" t="s">
        <v>91</v>
      </c>
      <c r="J37" s="173" t="s">
        <v>93</v>
      </c>
      <c r="K37" s="173">
        <v>1200</v>
      </c>
      <c r="L37" s="173">
        <v>0.2</v>
      </c>
      <c r="M37" s="170" t="s">
        <v>80</v>
      </c>
      <c r="N37" s="170" t="s">
        <v>88</v>
      </c>
      <c r="O37" s="181">
        <v>100</v>
      </c>
      <c r="P37" s="183">
        <v>4.0000000000000036E-3</v>
      </c>
      <c r="Q37" s="182">
        <v>3.3E-3</v>
      </c>
      <c r="R37" s="182">
        <v>6.8000000000000005E-2</v>
      </c>
      <c r="S37" s="182">
        <v>9.2999999999999999E-2</v>
      </c>
    </row>
    <row r="38" spans="1:19" ht="14.25" customHeight="1">
      <c r="A38" s="41" t="s">
        <v>94</v>
      </c>
      <c r="B38" s="41" t="s">
        <v>89</v>
      </c>
      <c r="C38" s="149" t="s">
        <v>101</v>
      </c>
      <c r="D38" s="92">
        <v>-48.567377839455055</v>
      </c>
      <c r="E38" s="92">
        <v>-20.558455515000002</v>
      </c>
      <c r="F38" s="41">
        <v>2012</v>
      </c>
      <c r="G38" s="175" t="s">
        <v>90</v>
      </c>
      <c r="H38" s="41" t="s">
        <v>177</v>
      </c>
      <c r="I38" s="41" t="s">
        <v>91</v>
      </c>
      <c r="J38" s="102" t="s">
        <v>93</v>
      </c>
      <c r="K38" s="41">
        <v>1200</v>
      </c>
      <c r="L38" s="102">
        <v>0.2</v>
      </c>
      <c r="M38" s="41" t="s">
        <v>80</v>
      </c>
      <c r="N38" s="41" t="s">
        <v>88</v>
      </c>
      <c r="O38" s="146">
        <v>100</v>
      </c>
      <c r="P38" s="200">
        <v>9.999999999999995E-3</v>
      </c>
      <c r="Q38" s="179">
        <v>0.05</v>
      </c>
      <c r="R38" s="179">
        <v>0.11</v>
      </c>
      <c r="S38" s="179">
        <v>0.16</v>
      </c>
    </row>
    <row r="39" spans="1:19" ht="14.25" customHeight="1">
      <c r="A39" s="41" t="s">
        <v>94</v>
      </c>
      <c r="B39" s="41" t="s">
        <v>89</v>
      </c>
      <c r="C39" s="149" t="s">
        <v>103</v>
      </c>
      <c r="D39" s="92">
        <v>-48.441289384350434</v>
      </c>
      <c r="E39" s="92">
        <v>-22.888381500000008</v>
      </c>
      <c r="F39" s="41">
        <v>2012</v>
      </c>
      <c r="G39" s="175" t="s">
        <v>90</v>
      </c>
      <c r="H39" s="41" t="s">
        <v>177</v>
      </c>
      <c r="I39" s="41" t="s">
        <v>91</v>
      </c>
      <c r="J39" s="102" t="s">
        <v>93</v>
      </c>
      <c r="K39" s="41">
        <v>600</v>
      </c>
      <c r="L39" s="102">
        <v>0.2</v>
      </c>
      <c r="M39" s="41" t="s">
        <v>80</v>
      </c>
      <c r="N39" s="41" t="s">
        <v>88</v>
      </c>
      <c r="O39" s="146">
        <v>100</v>
      </c>
      <c r="P39" s="200">
        <v>9.999999999999995E-3</v>
      </c>
      <c r="Q39" s="179">
        <v>0.05</v>
      </c>
      <c r="R39" s="179">
        <v>0.11</v>
      </c>
      <c r="S39" s="179">
        <v>0.16</v>
      </c>
    </row>
    <row r="40" spans="1:19" ht="14.25" customHeight="1">
      <c r="A40" s="41" t="s">
        <v>94</v>
      </c>
      <c r="B40" s="41" t="s">
        <v>89</v>
      </c>
      <c r="C40" s="149" t="s">
        <v>106</v>
      </c>
      <c r="D40" s="92">
        <v>-46.933372863488053</v>
      </c>
      <c r="E40" s="92">
        <v>-23.546934000000004</v>
      </c>
      <c r="F40" s="41">
        <v>2012</v>
      </c>
      <c r="G40" s="175" t="s">
        <v>90</v>
      </c>
      <c r="H40" s="41" t="s">
        <v>177</v>
      </c>
      <c r="I40" s="41" t="s">
        <v>91</v>
      </c>
      <c r="J40" s="102" t="s">
        <v>93</v>
      </c>
      <c r="K40" s="41">
        <v>900</v>
      </c>
      <c r="L40" s="102">
        <v>0.2</v>
      </c>
      <c r="M40" s="41" t="s">
        <v>80</v>
      </c>
      <c r="N40" s="41" t="s">
        <v>88</v>
      </c>
      <c r="O40" s="146">
        <v>100</v>
      </c>
      <c r="P40" s="200">
        <v>9.999999999999995E-3</v>
      </c>
      <c r="Q40" s="179">
        <v>0.05</v>
      </c>
      <c r="R40" s="179">
        <v>0.12</v>
      </c>
      <c r="S40" s="179">
        <v>0.17</v>
      </c>
    </row>
    <row r="41" spans="1:19" ht="14.25" customHeight="1">
      <c r="A41" s="41" t="s">
        <v>94</v>
      </c>
      <c r="B41" s="41" t="s">
        <v>89</v>
      </c>
      <c r="C41" s="149" t="s">
        <v>127</v>
      </c>
      <c r="D41" s="92">
        <v>-46.922092505649722</v>
      </c>
      <c r="E41" s="92">
        <v>-23.449453000000005</v>
      </c>
      <c r="F41" s="41">
        <v>2012</v>
      </c>
      <c r="G41" s="175" t="s">
        <v>90</v>
      </c>
      <c r="H41" s="41" t="s">
        <v>177</v>
      </c>
      <c r="I41" s="41" t="s">
        <v>91</v>
      </c>
      <c r="J41" s="102" t="s">
        <v>93</v>
      </c>
      <c r="K41" s="41">
        <v>1200</v>
      </c>
      <c r="L41" s="102">
        <v>0.2</v>
      </c>
      <c r="M41" s="41" t="s">
        <v>80</v>
      </c>
      <c r="N41" s="41" t="s">
        <v>88</v>
      </c>
      <c r="O41" s="146">
        <v>100</v>
      </c>
      <c r="P41" s="200">
        <v>2.0000000000000004E-2</v>
      </c>
      <c r="Q41" s="179">
        <v>0.05</v>
      </c>
      <c r="R41" s="179">
        <v>0.13</v>
      </c>
      <c r="S41" s="179">
        <v>0.2</v>
      </c>
    </row>
    <row r="42" spans="1:19" ht="14.25" customHeight="1">
      <c r="A42" s="41" t="s">
        <v>94</v>
      </c>
      <c r="B42" s="41" t="s">
        <v>89</v>
      </c>
      <c r="C42" s="149" t="s">
        <v>131</v>
      </c>
      <c r="D42" s="92">
        <v>-49.381347685025794</v>
      </c>
      <c r="E42" s="92">
        <v>-20.812636500000004</v>
      </c>
      <c r="F42" s="41">
        <v>2012</v>
      </c>
      <c r="G42" s="175" t="s">
        <v>90</v>
      </c>
      <c r="H42" s="41" t="s">
        <v>177</v>
      </c>
      <c r="I42" s="41" t="s">
        <v>91</v>
      </c>
      <c r="J42" s="102" t="s">
        <v>93</v>
      </c>
      <c r="K42" s="41">
        <v>1200</v>
      </c>
      <c r="L42" s="102">
        <v>0.2</v>
      </c>
      <c r="M42" s="41" t="s">
        <v>80</v>
      </c>
      <c r="N42" s="41" t="s">
        <v>88</v>
      </c>
      <c r="O42" s="147">
        <v>99.174999999999997</v>
      </c>
      <c r="P42" s="200">
        <v>1.0000000000000009E-2</v>
      </c>
      <c r="Q42" s="179">
        <v>7.0000000000000007E-2</v>
      </c>
      <c r="R42" s="179">
        <v>0.14000000000000001</v>
      </c>
      <c r="S42" s="179">
        <v>0.18</v>
      </c>
    </row>
    <row r="43" spans="1:19" ht="14.25" customHeight="1">
      <c r="A43" s="41" t="s">
        <v>94</v>
      </c>
      <c r="B43" s="41" t="s">
        <v>89</v>
      </c>
      <c r="C43" s="149" t="s">
        <v>165</v>
      </c>
      <c r="D43" s="92">
        <v>-59.594559019496884</v>
      </c>
      <c r="E43" s="92">
        <v>-4.390619891472725</v>
      </c>
      <c r="F43" s="41">
        <v>2012</v>
      </c>
      <c r="G43" s="175" t="s">
        <v>90</v>
      </c>
      <c r="H43" s="41" t="s">
        <v>177</v>
      </c>
      <c r="I43" s="41" t="s">
        <v>91</v>
      </c>
      <c r="J43" s="102" t="s">
        <v>93</v>
      </c>
      <c r="K43" s="41">
        <v>900</v>
      </c>
      <c r="L43" s="102">
        <v>0.2</v>
      </c>
      <c r="M43" s="41" t="s">
        <v>80</v>
      </c>
      <c r="N43" s="41" t="s">
        <v>88</v>
      </c>
      <c r="O43" s="147">
        <v>99.7</v>
      </c>
      <c r="P43" s="200">
        <v>9.999999999999995E-3</v>
      </c>
      <c r="Q43" s="179">
        <v>0.06</v>
      </c>
      <c r="R43" s="179">
        <v>0.12</v>
      </c>
      <c r="S43" s="179">
        <v>0.16</v>
      </c>
    </row>
    <row r="44" spans="1:19" ht="14.25" customHeight="1">
      <c r="A44" s="41" t="s">
        <v>94</v>
      </c>
      <c r="B44" s="41" t="s">
        <v>89</v>
      </c>
      <c r="C44" s="149" t="s">
        <v>166</v>
      </c>
      <c r="D44" s="92">
        <v>-45.004168437028525</v>
      </c>
      <c r="E44" s="92">
        <v>-12.144924888390602</v>
      </c>
      <c r="F44" s="41">
        <v>2012</v>
      </c>
      <c r="G44" s="175" t="s">
        <v>90</v>
      </c>
      <c r="H44" s="41" t="s">
        <v>177</v>
      </c>
      <c r="I44" s="41" t="s">
        <v>91</v>
      </c>
      <c r="J44" s="102" t="s">
        <v>93</v>
      </c>
      <c r="K44" s="41">
        <v>900</v>
      </c>
      <c r="L44" s="102">
        <v>0.2</v>
      </c>
      <c r="M44" s="41" t="s">
        <v>80</v>
      </c>
      <c r="N44" s="41" t="s">
        <v>88</v>
      </c>
      <c r="O44" s="146">
        <v>100</v>
      </c>
      <c r="P44" s="200">
        <v>6.0000000000000053E-3</v>
      </c>
      <c r="Q44" s="179">
        <v>7.0000000000000007E-2</v>
      </c>
      <c r="R44" s="179">
        <v>0.12</v>
      </c>
      <c r="S44" s="179">
        <v>0.15</v>
      </c>
    </row>
    <row r="45" spans="1:19" ht="14.25" customHeight="1">
      <c r="A45" s="41" t="s">
        <v>94</v>
      </c>
      <c r="B45" s="41" t="s">
        <v>89</v>
      </c>
      <c r="C45" s="149" t="s">
        <v>163</v>
      </c>
      <c r="D45" s="92">
        <v>-39.584171940986373</v>
      </c>
      <c r="E45" s="92">
        <v>-16.375167232256405</v>
      </c>
      <c r="F45" s="41">
        <v>2012</v>
      </c>
      <c r="G45" s="175" t="s">
        <v>90</v>
      </c>
      <c r="H45" s="41" t="s">
        <v>177</v>
      </c>
      <c r="I45" s="41" t="s">
        <v>91</v>
      </c>
      <c r="J45" s="102" t="s">
        <v>93</v>
      </c>
      <c r="K45" s="41">
        <v>900</v>
      </c>
      <c r="L45" s="102">
        <v>0.2</v>
      </c>
      <c r="M45" s="41" t="s">
        <v>80</v>
      </c>
      <c r="N45" s="41" t="s">
        <v>88</v>
      </c>
      <c r="O45" s="147">
        <v>98</v>
      </c>
      <c r="P45" s="195">
        <v>1.0000000000000009E-2</v>
      </c>
      <c r="Q45" s="179">
        <v>7.0000000000000007E-2</v>
      </c>
      <c r="R45" s="179">
        <v>0.14000000000000001</v>
      </c>
      <c r="S45" s="179">
        <v>0.18</v>
      </c>
    </row>
    <row r="46" spans="1:19" ht="14.25" customHeight="1">
      <c r="A46" s="41" t="s">
        <v>94</v>
      </c>
      <c r="B46" s="41" t="s">
        <v>89</v>
      </c>
      <c r="C46" s="149" t="s">
        <v>167</v>
      </c>
      <c r="D46" s="92">
        <v>-43.218696264965466</v>
      </c>
      <c r="E46" s="92">
        <v>-12.184013569044852</v>
      </c>
      <c r="F46" s="41">
        <v>2012</v>
      </c>
      <c r="G46" s="175" t="s">
        <v>90</v>
      </c>
      <c r="H46" s="41" t="s">
        <v>177</v>
      </c>
      <c r="I46" s="41" t="s">
        <v>91</v>
      </c>
      <c r="J46" s="102" t="s">
        <v>93</v>
      </c>
      <c r="K46" s="41">
        <v>1200</v>
      </c>
      <c r="L46" s="102">
        <v>0.2</v>
      </c>
      <c r="M46" s="41" t="s">
        <v>80</v>
      </c>
      <c r="N46" s="41" t="s">
        <v>88</v>
      </c>
      <c r="O46" s="146">
        <v>100</v>
      </c>
      <c r="P46" s="183">
        <v>1E-4</v>
      </c>
      <c r="Q46" s="179">
        <v>0.06</v>
      </c>
      <c r="R46" s="179">
        <v>0.11</v>
      </c>
      <c r="S46" s="179">
        <v>0.14000000000000001</v>
      </c>
    </row>
    <row r="47" spans="1:19" ht="14.25" customHeight="1">
      <c r="A47" s="41" t="s">
        <v>94</v>
      </c>
      <c r="B47" s="41" t="s">
        <v>89</v>
      </c>
      <c r="C47" s="149" t="s">
        <v>168</v>
      </c>
      <c r="D47" s="92">
        <v>-40.088607327476304</v>
      </c>
      <c r="E47" s="92">
        <v>-13.855664007664052</v>
      </c>
      <c r="F47" s="41">
        <v>2012</v>
      </c>
      <c r="G47" s="175" t="s">
        <v>90</v>
      </c>
      <c r="H47" s="41" t="s">
        <v>177</v>
      </c>
      <c r="I47" s="41" t="s">
        <v>91</v>
      </c>
      <c r="J47" s="102" t="s">
        <v>93</v>
      </c>
      <c r="K47" s="41">
        <v>1200</v>
      </c>
      <c r="L47" s="102">
        <v>0.2</v>
      </c>
      <c r="M47" s="41" t="s">
        <v>80</v>
      </c>
      <c r="N47" s="41" t="s">
        <v>88</v>
      </c>
      <c r="O47" s="147">
        <v>88.100000000000009</v>
      </c>
      <c r="P47" s="195">
        <v>1.999999999999999E-2</v>
      </c>
      <c r="Q47" s="197">
        <v>0.06</v>
      </c>
      <c r="R47" s="197">
        <v>0.21</v>
      </c>
      <c r="S47" s="197">
        <v>0.36</v>
      </c>
    </row>
    <row r="48" spans="1:19" ht="14.25" customHeight="1">
      <c r="A48" s="41" t="s">
        <v>94</v>
      </c>
      <c r="B48" s="41" t="s">
        <v>89</v>
      </c>
      <c r="C48" s="149" t="s">
        <v>164</v>
      </c>
      <c r="D48" s="92">
        <v>-38.21832896822621</v>
      </c>
      <c r="E48" s="92">
        <v>-9.4033316973782313</v>
      </c>
      <c r="F48" s="41">
        <v>2012</v>
      </c>
      <c r="G48" s="175" t="s">
        <v>90</v>
      </c>
      <c r="H48" s="41" t="s">
        <v>177</v>
      </c>
      <c r="I48" s="41" t="s">
        <v>91</v>
      </c>
      <c r="J48" s="102" t="s">
        <v>93</v>
      </c>
      <c r="K48" s="41">
        <v>1500</v>
      </c>
      <c r="L48" s="102">
        <v>0.2</v>
      </c>
      <c r="M48" s="41" t="s">
        <v>80</v>
      </c>
      <c r="N48" s="41" t="s">
        <v>88</v>
      </c>
      <c r="O48" s="146">
        <v>100</v>
      </c>
      <c r="P48" s="183">
        <v>1.0000000000000009E-2</v>
      </c>
      <c r="Q48" s="197">
        <v>7.0000000000000007E-2</v>
      </c>
      <c r="R48" s="197">
        <v>0.14000000000000001</v>
      </c>
      <c r="S48" s="197">
        <v>0.18</v>
      </c>
    </row>
    <row r="49" spans="1:20" ht="14.25" customHeight="1">
      <c r="A49" s="41" t="s">
        <v>94</v>
      </c>
      <c r="B49" s="41" t="s">
        <v>89</v>
      </c>
      <c r="C49" s="149" t="s">
        <v>169</v>
      </c>
      <c r="D49" s="92">
        <v>-35.50134323404064</v>
      </c>
      <c r="E49" s="92">
        <v>-6.2770915257477062</v>
      </c>
      <c r="F49" s="41">
        <v>2012</v>
      </c>
      <c r="G49" s="175" t="s">
        <v>90</v>
      </c>
      <c r="H49" s="41" t="s">
        <v>177</v>
      </c>
      <c r="I49" s="41" t="s">
        <v>91</v>
      </c>
      <c r="J49" s="102" t="s">
        <v>93</v>
      </c>
      <c r="K49" s="41">
        <v>1200</v>
      </c>
      <c r="L49" s="102">
        <v>0.2</v>
      </c>
      <c r="M49" s="41" t="s">
        <v>80</v>
      </c>
      <c r="N49" s="41" t="s">
        <v>88</v>
      </c>
      <c r="O49" s="147">
        <v>90</v>
      </c>
      <c r="P49" s="183">
        <v>1.999999999999999E-2</v>
      </c>
      <c r="Q49" s="179">
        <v>0.1</v>
      </c>
      <c r="R49" s="179">
        <v>0.18</v>
      </c>
      <c r="S49" s="179">
        <v>0.22</v>
      </c>
    </row>
    <row r="50" spans="1:20" ht="14.25" customHeight="1">
      <c r="A50" s="41" t="s">
        <v>94</v>
      </c>
      <c r="B50" s="41" t="s">
        <v>89</v>
      </c>
      <c r="C50" s="149" t="s">
        <v>160</v>
      </c>
      <c r="D50" s="92">
        <v>-54.811289122892603</v>
      </c>
      <c r="E50" s="92">
        <v>-22.227235536898849</v>
      </c>
      <c r="F50" s="41">
        <v>2012</v>
      </c>
      <c r="G50" s="175" t="s">
        <v>90</v>
      </c>
      <c r="H50" s="41" t="s">
        <v>177</v>
      </c>
      <c r="I50" s="41" t="s">
        <v>91</v>
      </c>
      <c r="J50" s="102" t="s">
        <v>93</v>
      </c>
      <c r="K50" s="41">
        <v>600</v>
      </c>
      <c r="L50" s="102">
        <v>0.2</v>
      </c>
      <c r="M50" s="41" t="s">
        <v>80</v>
      </c>
      <c r="N50" s="41" t="s">
        <v>88</v>
      </c>
      <c r="O50" s="147">
        <v>98.9</v>
      </c>
      <c r="P50" s="179">
        <v>1.999999999999999E-2</v>
      </c>
      <c r="Q50" s="197">
        <v>7.0000000000000007E-2</v>
      </c>
      <c r="R50" s="197">
        <v>0.16</v>
      </c>
      <c r="S50" s="197">
        <v>0.23</v>
      </c>
    </row>
    <row r="51" spans="1:20" ht="14.25" customHeight="1">
      <c r="A51" s="41" t="s">
        <v>94</v>
      </c>
      <c r="B51" s="41" t="s">
        <v>89</v>
      </c>
      <c r="C51" s="149" t="s">
        <v>158</v>
      </c>
      <c r="D51" s="92">
        <v>-36.790840052134712</v>
      </c>
      <c r="E51" s="92">
        <v>-9.9569226033201854</v>
      </c>
      <c r="F51" s="41">
        <v>2012</v>
      </c>
      <c r="G51" s="175" t="s">
        <v>90</v>
      </c>
      <c r="H51" s="41" t="s">
        <v>177</v>
      </c>
      <c r="I51" s="41" t="s">
        <v>91</v>
      </c>
      <c r="J51" s="102" t="s">
        <v>93</v>
      </c>
      <c r="K51" s="41">
        <v>600</v>
      </c>
      <c r="L51" s="102">
        <v>0.2</v>
      </c>
      <c r="M51" s="41" t="s">
        <v>80</v>
      </c>
      <c r="N51" s="41" t="s">
        <v>88</v>
      </c>
      <c r="O51" s="147">
        <v>96.300000000000011</v>
      </c>
      <c r="P51" s="183">
        <v>1.2000000000000011E-2</v>
      </c>
      <c r="Q51" s="197">
        <v>0.08</v>
      </c>
      <c r="R51" s="197">
        <v>0.19</v>
      </c>
      <c r="S51" s="197">
        <v>0.27</v>
      </c>
    </row>
    <row r="52" spans="1:20" ht="14.25" customHeight="1">
      <c r="A52" s="41" t="s">
        <v>94</v>
      </c>
      <c r="B52" s="41" t="s">
        <v>89</v>
      </c>
      <c r="C52" s="149" t="s">
        <v>170</v>
      </c>
      <c r="D52" s="92">
        <v>-57.648985457340132</v>
      </c>
      <c r="E52" s="92">
        <v>-19.006374654645803</v>
      </c>
      <c r="F52" s="41">
        <v>2012</v>
      </c>
      <c r="G52" s="175" t="s">
        <v>90</v>
      </c>
      <c r="H52" s="41" t="s">
        <v>177</v>
      </c>
      <c r="I52" s="41" t="s">
        <v>91</v>
      </c>
      <c r="J52" s="102" t="s">
        <v>93</v>
      </c>
      <c r="K52" s="41">
        <v>1200</v>
      </c>
      <c r="L52" s="102">
        <v>0.2</v>
      </c>
      <c r="M52" s="41" t="s">
        <v>80</v>
      </c>
      <c r="N52" s="41" t="s">
        <v>88</v>
      </c>
      <c r="O52" s="147">
        <v>99.375</v>
      </c>
      <c r="P52" s="183">
        <v>1.0000000000000009E-2</v>
      </c>
      <c r="Q52" s="179">
        <v>7.0000000000000007E-2</v>
      </c>
      <c r="R52" s="179">
        <v>0.13</v>
      </c>
      <c r="S52" s="179">
        <v>0.17</v>
      </c>
    </row>
    <row r="53" spans="1:20" ht="14.25" customHeight="1" thickBot="1">
      <c r="A53" s="167" t="s">
        <v>94</v>
      </c>
      <c r="B53" s="167" t="s">
        <v>89</v>
      </c>
      <c r="C53" s="148" t="s">
        <v>120</v>
      </c>
      <c r="D53" s="93">
        <v>-42.805270458223347</v>
      </c>
      <c r="E53" s="93">
        <v>-5.0863419523217006</v>
      </c>
      <c r="F53" s="167">
        <v>2012</v>
      </c>
      <c r="G53" s="176" t="s">
        <v>90</v>
      </c>
      <c r="H53" s="167" t="s">
        <v>177</v>
      </c>
      <c r="I53" s="167" t="s">
        <v>91</v>
      </c>
      <c r="J53" s="104" t="s">
        <v>93</v>
      </c>
      <c r="K53" s="167">
        <v>1200</v>
      </c>
      <c r="L53" s="104">
        <v>0.2</v>
      </c>
      <c r="M53" s="167" t="s">
        <v>80</v>
      </c>
      <c r="N53" s="167" t="s">
        <v>88</v>
      </c>
      <c r="O53" s="185">
        <v>100</v>
      </c>
      <c r="P53" s="198">
        <v>1.0000000000000009E-2</v>
      </c>
      <c r="Q53" s="198">
        <v>0.06</v>
      </c>
      <c r="R53" s="198">
        <v>0.1</v>
      </c>
      <c r="S53" s="198">
        <v>0.12</v>
      </c>
    </row>
    <row r="54" spans="1:20" ht="14.25" customHeight="1">
      <c r="A54" s="41" t="s">
        <v>94</v>
      </c>
      <c r="B54" s="41" t="s">
        <v>89</v>
      </c>
      <c r="C54" s="187" t="s">
        <v>124</v>
      </c>
      <c r="D54" s="268"/>
      <c r="E54" s="269"/>
      <c r="F54" s="41">
        <v>2012</v>
      </c>
      <c r="G54" s="171" t="s">
        <v>90</v>
      </c>
      <c r="H54" s="41" t="s">
        <v>188</v>
      </c>
      <c r="I54" s="170" t="s">
        <v>91</v>
      </c>
      <c r="J54" s="41" t="s">
        <v>20</v>
      </c>
      <c r="K54" s="41">
        <v>600</v>
      </c>
      <c r="L54" s="147">
        <v>73</v>
      </c>
      <c r="M54" s="203" t="s">
        <v>18</v>
      </c>
      <c r="N54" s="41" t="s">
        <v>88</v>
      </c>
      <c r="O54" s="146">
        <v>100</v>
      </c>
      <c r="P54" s="147">
        <v>0</v>
      </c>
      <c r="Q54" s="180"/>
      <c r="R54" s="184"/>
      <c r="S54" s="180"/>
    </row>
    <row r="55" spans="1:20" ht="14.25" customHeight="1">
      <c r="A55" s="41" t="s">
        <v>94</v>
      </c>
      <c r="B55" s="41" t="s">
        <v>89</v>
      </c>
      <c r="C55" s="54" t="s">
        <v>100</v>
      </c>
      <c r="D55" s="92">
        <v>-50.439226072752582</v>
      </c>
      <c r="E55" s="92">
        <v>-21.205476000000004</v>
      </c>
      <c r="F55" s="41">
        <v>2012</v>
      </c>
      <c r="G55" s="175" t="s">
        <v>90</v>
      </c>
      <c r="H55" s="41" t="s">
        <v>188</v>
      </c>
      <c r="I55" s="41" t="s">
        <v>91</v>
      </c>
      <c r="J55" s="41" t="s">
        <v>20</v>
      </c>
      <c r="K55" s="188">
        <v>600</v>
      </c>
      <c r="L55" s="184">
        <v>146</v>
      </c>
      <c r="M55" s="203" t="s">
        <v>18</v>
      </c>
      <c r="N55" s="41" t="s">
        <v>88</v>
      </c>
      <c r="O55" s="55">
        <v>44.75</v>
      </c>
      <c r="P55" s="147">
        <v>9.3429117516970948</v>
      </c>
      <c r="Q55" s="41"/>
      <c r="R55" s="41"/>
      <c r="S55" s="41"/>
    </row>
    <row r="56" spans="1:20" ht="14.25" customHeight="1">
      <c r="A56" s="41" t="s">
        <v>94</v>
      </c>
      <c r="B56" s="41" t="s">
        <v>89</v>
      </c>
      <c r="C56" s="54" t="s">
        <v>101</v>
      </c>
      <c r="D56" s="92">
        <v>-48.567377839455055</v>
      </c>
      <c r="E56" s="92">
        <v>-20.558455515000002</v>
      </c>
      <c r="F56" s="41">
        <v>2012</v>
      </c>
      <c r="G56" s="175" t="s">
        <v>90</v>
      </c>
      <c r="H56" s="41" t="s">
        <v>188</v>
      </c>
      <c r="I56" s="41" t="s">
        <v>91</v>
      </c>
      <c r="J56" s="41" t="s">
        <v>20</v>
      </c>
      <c r="K56" s="188">
        <v>750</v>
      </c>
      <c r="L56" s="184">
        <v>146</v>
      </c>
      <c r="M56" s="203" t="s">
        <v>18</v>
      </c>
      <c r="N56" s="41" t="s">
        <v>88</v>
      </c>
      <c r="O56" s="55">
        <v>57.839999999999996</v>
      </c>
      <c r="P56" s="147">
        <v>19.963040850531769</v>
      </c>
      <c r="Q56" s="254"/>
      <c r="R56" s="254"/>
      <c r="S56" s="254"/>
    </row>
    <row r="57" spans="1:20" ht="14.25" customHeight="1">
      <c r="A57" s="41" t="s">
        <v>94</v>
      </c>
      <c r="B57" s="41" t="s">
        <v>89</v>
      </c>
      <c r="C57" s="54" t="s">
        <v>102</v>
      </c>
      <c r="D57" s="92">
        <v>-49.083000867090362</v>
      </c>
      <c r="E57" s="92">
        <v>-22.325122500000006</v>
      </c>
      <c r="F57" s="41">
        <v>2012</v>
      </c>
      <c r="G57" s="175" t="s">
        <v>90</v>
      </c>
      <c r="H57" s="41" t="s">
        <v>188</v>
      </c>
      <c r="I57" s="41" t="s">
        <v>91</v>
      </c>
      <c r="J57" s="41" t="s">
        <v>20</v>
      </c>
      <c r="K57" s="188">
        <v>600</v>
      </c>
      <c r="L57" s="184">
        <v>146</v>
      </c>
      <c r="M57" s="203" t="s">
        <v>18</v>
      </c>
      <c r="N57" s="41" t="s">
        <v>88</v>
      </c>
      <c r="O57" s="55">
        <v>48.7</v>
      </c>
      <c r="P57" s="147">
        <v>5.2681432529244443</v>
      </c>
      <c r="Q57" s="189"/>
      <c r="R57" s="189"/>
      <c r="S57" s="189"/>
    </row>
    <row r="58" spans="1:20" ht="14.25" customHeight="1">
      <c r="A58" s="41" t="s">
        <v>94</v>
      </c>
      <c r="B58" s="41" t="s">
        <v>89</v>
      </c>
      <c r="C58" s="54" t="s">
        <v>103</v>
      </c>
      <c r="D58" s="92">
        <v>-48.441289384350434</v>
      </c>
      <c r="E58" s="92">
        <v>-22.888381500000008</v>
      </c>
      <c r="F58" s="41">
        <v>2012</v>
      </c>
      <c r="G58" s="175" t="s">
        <v>90</v>
      </c>
      <c r="H58" s="41" t="s">
        <v>188</v>
      </c>
      <c r="I58" s="41" t="s">
        <v>91</v>
      </c>
      <c r="J58" s="41" t="s">
        <v>20</v>
      </c>
      <c r="K58" s="188">
        <v>600</v>
      </c>
      <c r="L58" s="184">
        <v>146</v>
      </c>
      <c r="M58" s="203" t="s">
        <v>18</v>
      </c>
      <c r="N58" s="41" t="s">
        <v>88</v>
      </c>
      <c r="O58" s="55">
        <v>96.75</v>
      </c>
      <c r="P58" s="147">
        <v>2.2840023350834571</v>
      </c>
      <c r="Q58" s="55"/>
      <c r="R58" s="188"/>
      <c r="S58" s="55"/>
    </row>
    <row r="59" spans="1:20" ht="14.25" customHeight="1">
      <c r="A59" s="41" t="s">
        <v>94</v>
      </c>
      <c r="B59" s="41" t="s">
        <v>89</v>
      </c>
      <c r="C59" s="54" t="s">
        <v>162</v>
      </c>
      <c r="D59" s="92">
        <v>-48.441289384350434</v>
      </c>
      <c r="E59" s="92">
        <v>-22.888381500000008</v>
      </c>
      <c r="F59" s="41">
        <v>2012</v>
      </c>
      <c r="G59" s="175" t="s">
        <v>90</v>
      </c>
      <c r="H59" s="41" t="s">
        <v>188</v>
      </c>
      <c r="I59" s="41" t="s">
        <v>91</v>
      </c>
      <c r="J59" s="41" t="s">
        <v>20</v>
      </c>
      <c r="K59" s="54">
        <v>900</v>
      </c>
      <c r="L59" s="184">
        <v>146</v>
      </c>
      <c r="M59" s="203" t="s">
        <v>18</v>
      </c>
      <c r="N59" s="41" t="s">
        <v>88</v>
      </c>
      <c r="O59" s="190">
        <v>76.319999999999993</v>
      </c>
      <c r="P59" s="147">
        <v>14.3960758542042</v>
      </c>
      <c r="Q59" s="188"/>
      <c r="R59" s="188"/>
      <c r="S59" s="55"/>
    </row>
    <row r="60" spans="1:20" ht="14.25" customHeight="1">
      <c r="A60" s="41" t="s">
        <v>94</v>
      </c>
      <c r="B60" s="41" t="s">
        <v>89</v>
      </c>
      <c r="C60" s="54" t="s">
        <v>106</v>
      </c>
      <c r="D60" s="92">
        <v>-46.933372863488053</v>
      </c>
      <c r="E60" s="92">
        <v>-23.546934000000004</v>
      </c>
      <c r="F60" s="41">
        <v>2012</v>
      </c>
      <c r="G60" s="175" t="s">
        <v>90</v>
      </c>
      <c r="H60" s="41" t="s">
        <v>188</v>
      </c>
      <c r="I60" s="41" t="s">
        <v>91</v>
      </c>
      <c r="J60" s="41" t="s">
        <v>20</v>
      </c>
      <c r="K60" s="54">
        <v>600</v>
      </c>
      <c r="L60" s="184">
        <v>146</v>
      </c>
      <c r="M60" s="203" t="s">
        <v>18</v>
      </c>
      <c r="N60" s="41" t="s">
        <v>88</v>
      </c>
      <c r="O60" s="55">
        <v>70.774999999999991</v>
      </c>
      <c r="P60" s="152">
        <v>2.833578420772338</v>
      </c>
      <c r="Q60" s="55"/>
      <c r="R60" s="188"/>
      <c r="S60" s="55"/>
      <c r="T60" s="188"/>
    </row>
    <row r="61" spans="1:20" ht="14.25" customHeight="1">
      <c r="A61" s="41" t="s">
        <v>94</v>
      </c>
      <c r="B61" s="41" t="s">
        <v>89</v>
      </c>
      <c r="C61" s="54" t="s">
        <v>107</v>
      </c>
      <c r="D61" s="92">
        <v>-49.951645643103269</v>
      </c>
      <c r="E61" s="92">
        <v>-22.214933000000002</v>
      </c>
      <c r="F61" s="41">
        <v>2012</v>
      </c>
      <c r="G61" s="175" t="s">
        <v>90</v>
      </c>
      <c r="H61" s="41" t="s">
        <v>188</v>
      </c>
      <c r="I61" s="41" t="s">
        <v>91</v>
      </c>
      <c r="J61" s="41" t="s">
        <v>20</v>
      </c>
      <c r="K61" s="54">
        <v>600</v>
      </c>
      <c r="L61" s="184">
        <v>146</v>
      </c>
      <c r="M61" s="203" t="s">
        <v>18</v>
      </c>
      <c r="N61" s="41" t="s">
        <v>88</v>
      </c>
      <c r="O61" s="55">
        <v>90.399999999999991</v>
      </c>
      <c r="P61" s="147">
        <v>4.6640468836980356</v>
      </c>
      <c r="Q61" s="188"/>
      <c r="R61" s="188"/>
      <c r="S61" s="55"/>
      <c r="T61" s="188"/>
    </row>
    <row r="62" spans="1:20" ht="14.25" customHeight="1">
      <c r="A62" s="41" t="s">
        <v>94</v>
      </c>
      <c r="B62" s="41" t="s">
        <v>89</v>
      </c>
      <c r="C62" s="54" t="s">
        <v>108</v>
      </c>
      <c r="D62" s="92">
        <v>-51.386765581912492</v>
      </c>
      <c r="E62" s="92">
        <v>-22.122743500000002</v>
      </c>
      <c r="F62" s="41">
        <v>2012</v>
      </c>
      <c r="G62" s="175" t="s">
        <v>90</v>
      </c>
      <c r="H62" s="41" t="s">
        <v>188</v>
      </c>
      <c r="I62" s="41" t="s">
        <v>91</v>
      </c>
      <c r="J62" s="41" t="s">
        <v>20</v>
      </c>
      <c r="K62" s="54">
        <v>600</v>
      </c>
      <c r="L62" s="184">
        <v>146</v>
      </c>
      <c r="M62" s="203" t="s">
        <v>18</v>
      </c>
      <c r="N62" s="41" t="s">
        <v>88</v>
      </c>
      <c r="O62" s="55">
        <v>52.099999999999994</v>
      </c>
      <c r="P62" s="147">
        <v>14.022363091386117</v>
      </c>
      <c r="Q62" s="55"/>
      <c r="R62" s="54"/>
      <c r="S62" s="55"/>
      <c r="T62" s="54"/>
    </row>
    <row r="63" spans="1:20" ht="14.25" customHeight="1">
      <c r="A63" s="41" t="s">
        <v>94</v>
      </c>
      <c r="B63" s="41" t="s">
        <v>89</v>
      </c>
      <c r="C63" s="54" t="s">
        <v>109</v>
      </c>
      <c r="D63" s="92">
        <v>-47.805475915541528</v>
      </c>
      <c r="E63" s="92">
        <v>-21.184834500000004</v>
      </c>
      <c r="F63" s="41">
        <v>2012</v>
      </c>
      <c r="G63" s="175" t="s">
        <v>90</v>
      </c>
      <c r="H63" s="41" t="s">
        <v>188</v>
      </c>
      <c r="I63" s="41" t="s">
        <v>91</v>
      </c>
      <c r="J63" s="41" t="s">
        <v>20</v>
      </c>
      <c r="K63" s="54">
        <v>600</v>
      </c>
      <c r="L63" s="184">
        <v>146</v>
      </c>
      <c r="M63" s="203" t="s">
        <v>18</v>
      </c>
      <c r="N63" s="41" t="s">
        <v>88</v>
      </c>
      <c r="O63" s="55">
        <v>43.4</v>
      </c>
      <c r="P63" s="147">
        <v>10.493172383348449</v>
      </c>
      <c r="Q63" s="55"/>
      <c r="R63" s="54"/>
      <c r="S63" s="55"/>
      <c r="T63" s="54"/>
    </row>
    <row r="64" spans="1:20" ht="14.25" customHeight="1">
      <c r="A64" s="41" t="s">
        <v>94</v>
      </c>
      <c r="B64" s="41" t="s">
        <v>89</v>
      </c>
      <c r="C64" s="54" t="s">
        <v>127</v>
      </c>
      <c r="D64" s="92">
        <v>-46.922092505649722</v>
      </c>
      <c r="E64" s="92">
        <v>-23.449453000000005</v>
      </c>
      <c r="F64" s="41">
        <v>2012</v>
      </c>
      <c r="G64" s="175" t="s">
        <v>90</v>
      </c>
      <c r="H64" s="41" t="s">
        <v>188</v>
      </c>
      <c r="I64" s="41" t="s">
        <v>91</v>
      </c>
      <c r="J64" s="41" t="s">
        <v>20</v>
      </c>
      <c r="K64" s="188">
        <v>600</v>
      </c>
      <c r="L64" s="184">
        <v>146</v>
      </c>
      <c r="M64" s="203" t="s">
        <v>18</v>
      </c>
      <c r="N64" s="41" t="s">
        <v>88</v>
      </c>
      <c r="O64" s="55">
        <v>63.924999999999997</v>
      </c>
      <c r="P64" s="147">
        <v>21.548298463374493</v>
      </c>
      <c r="Q64" s="188"/>
      <c r="R64" s="188"/>
      <c r="S64" s="55"/>
      <c r="T64" s="54" t="s">
        <v>99</v>
      </c>
    </row>
    <row r="65" spans="1:20" ht="14.25" customHeight="1">
      <c r="A65" s="41" t="s">
        <v>94</v>
      </c>
      <c r="B65" s="41" t="s">
        <v>89</v>
      </c>
      <c r="C65" s="54" t="s">
        <v>110</v>
      </c>
      <c r="D65" s="92">
        <v>-46.331370849190684</v>
      </c>
      <c r="E65" s="92">
        <v>-23.933737500000003</v>
      </c>
      <c r="F65" s="41">
        <v>2012</v>
      </c>
      <c r="G65" s="175" t="s">
        <v>90</v>
      </c>
      <c r="H65" s="41" t="s">
        <v>188</v>
      </c>
      <c r="I65" s="41" t="s">
        <v>91</v>
      </c>
      <c r="J65" s="41" t="s">
        <v>20</v>
      </c>
      <c r="K65" s="188">
        <v>600</v>
      </c>
      <c r="L65" s="184">
        <v>146</v>
      </c>
      <c r="M65" s="203" t="s">
        <v>18</v>
      </c>
      <c r="N65" s="41" t="s">
        <v>88</v>
      </c>
      <c r="O65" s="55">
        <v>58.075000000000003</v>
      </c>
      <c r="P65" s="147">
        <v>7.6843455587750453</v>
      </c>
      <c r="Q65" s="188"/>
      <c r="R65" s="188"/>
      <c r="S65" s="55"/>
      <c r="T65" s="54"/>
    </row>
    <row r="66" spans="1:20" ht="14.25" customHeight="1">
      <c r="A66" s="41" t="s">
        <v>94</v>
      </c>
      <c r="B66" s="41" t="s">
        <v>89</v>
      </c>
      <c r="C66" s="149" t="s">
        <v>131</v>
      </c>
      <c r="D66" s="92">
        <v>-49.381347685025794</v>
      </c>
      <c r="E66" s="92">
        <v>-20.812636500000004</v>
      </c>
      <c r="F66" s="41">
        <v>2012</v>
      </c>
      <c r="G66" s="175" t="s">
        <v>90</v>
      </c>
      <c r="H66" s="41" t="s">
        <v>188</v>
      </c>
      <c r="I66" s="41" t="s">
        <v>91</v>
      </c>
      <c r="J66" s="41" t="s">
        <v>20</v>
      </c>
      <c r="K66" s="188">
        <v>450</v>
      </c>
      <c r="L66" s="184">
        <v>146</v>
      </c>
      <c r="M66" s="203" t="s">
        <v>18</v>
      </c>
      <c r="N66" s="41" t="s">
        <v>88</v>
      </c>
      <c r="O66" s="55">
        <v>65.775000000000006</v>
      </c>
      <c r="P66" s="147">
        <v>18.502679986063253</v>
      </c>
      <c r="Q66" s="55"/>
      <c r="R66" s="188"/>
      <c r="S66" s="55"/>
      <c r="T66" s="54"/>
    </row>
    <row r="67" spans="1:20" ht="14.25" customHeight="1">
      <c r="A67" s="41" t="s">
        <v>94</v>
      </c>
      <c r="B67" s="41" t="s">
        <v>89</v>
      </c>
      <c r="C67" s="54" t="s">
        <v>113</v>
      </c>
      <c r="D67" s="96">
        <v>-36.551091902005247</v>
      </c>
      <c r="E67" s="96">
        <v>-9.9316573889236714</v>
      </c>
      <c r="F67" s="41">
        <v>2012</v>
      </c>
      <c r="G67" s="175" t="s">
        <v>90</v>
      </c>
      <c r="H67" s="41" t="s">
        <v>188</v>
      </c>
      <c r="I67" s="41" t="s">
        <v>91</v>
      </c>
      <c r="J67" s="41" t="s">
        <v>20</v>
      </c>
      <c r="K67" s="188">
        <v>600</v>
      </c>
      <c r="L67" s="184">
        <v>146</v>
      </c>
      <c r="M67" s="203" t="s">
        <v>18</v>
      </c>
      <c r="N67" s="41" t="s">
        <v>88</v>
      </c>
      <c r="O67" s="55">
        <v>45.524999999999991</v>
      </c>
      <c r="P67" s="147">
        <v>13.309739541653975</v>
      </c>
      <c r="Q67" s="55"/>
      <c r="R67" s="54"/>
      <c r="S67" s="55"/>
      <c r="T67" s="188"/>
    </row>
    <row r="68" spans="1:20" ht="14.25" customHeight="1">
      <c r="A68" s="41" t="s">
        <v>94</v>
      </c>
      <c r="B68" s="41" t="s">
        <v>89</v>
      </c>
      <c r="C68" s="54" t="s">
        <v>165</v>
      </c>
      <c r="D68" s="92">
        <v>-59.594559019496884</v>
      </c>
      <c r="E68" s="92">
        <v>-4.390619891472725</v>
      </c>
      <c r="F68" s="41">
        <v>2012</v>
      </c>
      <c r="G68" s="175" t="s">
        <v>90</v>
      </c>
      <c r="H68" s="41" t="s">
        <v>188</v>
      </c>
      <c r="I68" s="41" t="s">
        <v>91</v>
      </c>
      <c r="J68" s="41" t="s">
        <v>20</v>
      </c>
      <c r="K68" s="188">
        <v>750</v>
      </c>
      <c r="L68" s="184">
        <v>146</v>
      </c>
      <c r="M68" s="203" t="s">
        <v>18</v>
      </c>
      <c r="N68" s="41" t="s">
        <v>88</v>
      </c>
      <c r="O68" s="55">
        <v>72.2</v>
      </c>
      <c r="P68" s="147">
        <v>72.2</v>
      </c>
      <c r="R68" s="188"/>
      <c r="S68" s="55"/>
      <c r="T68" s="188"/>
    </row>
    <row r="69" spans="1:20" ht="14.25" customHeight="1">
      <c r="A69" s="41" t="s">
        <v>94</v>
      </c>
      <c r="B69" s="41" t="s">
        <v>89</v>
      </c>
      <c r="C69" s="54" t="s">
        <v>119</v>
      </c>
      <c r="D69" s="92">
        <v>-60.023335181061036</v>
      </c>
      <c r="E69" s="92">
        <v>-3.1346914912019459</v>
      </c>
      <c r="F69" s="41">
        <v>2012</v>
      </c>
      <c r="G69" s="175" t="s">
        <v>90</v>
      </c>
      <c r="H69" s="41" t="s">
        <v>188</v>
      </c>
      <c r="I69" s="41" t="s">
        <v>91</v>
      </c>
      <c r="J69" s="41" t="s">
        <v>20</v>
      </c>
      <c r="K69" s="188">
        <v>600</v>
      </c>
      <c r="L69" s="184">
        <v>146</v>
      </c>
      <c r="M69" s="203" t="s">
        <v>18</v>
      </c>
      <c r="N69" s="41" t="s">
        <v>88</v>
      </c>
      <c r="O69" s="55">
        <v>93.45</v>
      </c>
      <c r="P69" s="147">
        <v>3.9450390788094047</v>
      </c>
      <c r="R69" s="54"/>
      <c r="S69" s="55"/>
      <c r="T69" s="188"/>
    </row>
    <row r="70" spans="1:20" ht="14.25" customHeight="1">
      <c r="A70" s="41" t="s">
        <v>94</v>
      </c>
      <c r="B70" s="41" t="s">
        <v>89</v>
      </c>
      <c r="C70" s="54" t="s">
        <v>166</v>
      </c>
      <c r="D70" s="92">
        <v>-45.004168437028525</v>
      </c>
      <c r="E70" s="92">
        <v>-12.144924888390602</v>
      </c>
      <c r="F70" s="41">
        <v>2012</v>
      </c>
      <c r="G70" s="175" t="s">
        <v>90</v>
      </c>
      <c r="H70" s="41" t="s">
        <v>188</v>
      </c>
      <c r="I70" s="41" t="s">
        <v>91</v>
      </c>
      <c r="J70" s="41" t="s">
        <v>20</v>
      </c>
      <c r="K70" s="188">
        <v>600</v>
      </c>
      <c r="L70" s="184">
        <v>146</v>
      </c>
      <c r="M70" s="203" t="s">
        <v>18</v>
      </c>
      <c r="N70" s="41" t="s">
        <v>88</v>
      </c>
      <c r="O70" s="55">
        <v>95.224999999999994</v>
      </c>
      <c r="P70" s="147">
        <v>5.3599595769619972</v>
      </c>
      <c r="Q70" s="54"/>
      <c r="S70" s="55"/>
      <c r="T70" s="188"/>
    </row>
    <row r="71" spans="1:20" ht="14.25" customHeight="1">
      <c r="A71" s="41" t="s">
        <v>94</v>
      </c>
      <c r="B71" s="41" t="s">
        <v>89</v>
      </c>
      <c r="C71" s="54" t="s">
        <v>163</v>
      </c>
      <c r="D71" s="92">
        <v>-39.584171940986373</v>
      </c>
      <c r="E71" s="92">
        <v>-16.375167232256405</v>
      </c>
      <c r="F71" s="41">
        <v>2012</v>
      </c>
      <c r="G71" s="175" t="s">
        <v>90</v>
      </c>
      <c r="H71" s="41" t="s">
        <v>188</v>
      </c>
      <c r="I71" s="41" t="s">
        <v>91</v>
      </c>
      <c r="J71" s="41" t="s">
        <v>20</v>
      </c>
      <c r="K71" s="188">
        <v>750</v>
      </c>
      <c r="L71" s="184">
        <v>146</v>
      </c>
      <c r="M71" s="203" t="s">
        <v>18</v>
      </c>
      <c r="N71" s="41" t="s">
        <v>88</v>
      </c>
      <c r="O71" s="55">
        <v>89.460000000000008</v>
      </c>
      <c r="P71" s="147">
        <v>7.3285742133105272</v>
      </c>
      <c r="Q71" s="55"/>
      <c r="S71" s="55"/>
      <c r="T71" s="188"/>
    </row>
    <row r="72" spans="1:20" ht="14.25" customHeight="1">
      <c r="A72" s="41" t="s">
        <v>94</v>
      </c>
      <c r="B72" s="41" t="s">
        <v>89</v>
      </c>
      <c r="C72" s="54" t="s">
        <v>167</v>
      </c>
      <c r="D72" s="92">
        <v>-43.218696264965466</v>
      </c>
      <c r="E72" s="92">
        <v>-12.184013569044852</v>
      </c>
      <c r="F72" s="41">
        <v>2012</v>
      </c>
      <c r="G72" s="175" t="s">
        <v>90</v>
      </c>
      <c r="H72" s="41" t="s">
        <v>188</v>
      </c>
      <c r="I72" s="41" t="s">
        <v>91</v>
      </c>
      <c r="J72" s="41" t="s">
        <v>20</v>
      </c>
      <c r="K72" s="188">
        <v>750</v>
      </c>
      <c r="L72" s="184">
        <v>146</v>
      </c>
      <c r="M72" s="203" t="s">
        <v>18</v>
      </c>
      <c r="N72" s="41" t="s">
        <v>88</v>
      </c>
      <c r="O72" s="55">
        <v>83.22</v>
      </c>
      <c r="P72" s="147">
        <v>11.809403033176551</v>
      </c>
      <c r="Q72" s="188"/>
      <c r="S72" s="55"/>
      <c r="T72" s="188"/>
    </row>
    <row r="73" spans="1:20" ht="14.25" customHeight="1">
      <c r="A73" s="41" t="s">
        <v>94</v>
      </c>
      <c r="B73" s="41" t="s">
        <v>89</v>
      </c>
      <c r="C73" s="54" t="s">
        <v>168</v>
      </c>
      <c r="D73" s="92">
        <v>-40.088607327476304</v>
      </c>
      <c r="E73" s="92">
        <v>-13.855664007664052</v>
      </c>
      <c r="F73" s="41">
        <v>2012</v>
      </c>
      <c r="G73" s="175" t="s">
        <v>90</v>
      </c>
      <c r="H73" s="41" t="s">
        <v>188</v>
      </c>
      <c r="I73" s="41" t="s">
        <v>91</v>
      </c>
      <c r="J73" s="41" t="s">
        <v>20</v>
      </c>
      <c r="K73" s="188">
        <v>600</v>
      </c>
      <c r="L73" s="184">
        <v>146</v>
      </c>
      <c r="M73" s="203" t="s">
        <v>18</v>
      </c>
      <c r="N73" s="41" t="s">
        <v>88</v>
      </c>
      <c r="O73" s="55">
        <v>62.975000000000001</v>
      </c>
      <c r="P73" s="147">
        <v>18.092424749970171</v>
      </c>
      <c r="Q73" s="54"/>
      <c r="R73" s="54"/>
      <c r="S73" s="55"/>
      <c r="T73" s="188"/>
    </row>
    <row r="74" spans="1:20" ht="14.25" customHeight="1">
      <c r="A74" s="41" t="s">
        <v>94</v>
      </c>
      <c r="B74" s="41" t="s">
        <v>89</v>
      </c>
      <c r="C74" s="54" t="s">
        <v>164</v>
      </c>
      <c r="D74" s="92">
        <v>-38.21832896822621</v>
      </c>
      <c r="E74" s="92">
        <v>-9.4033316973782313</v>
      </c>
      <c r="F74" s="41">
        <v>2012</v>
      </c>
      <c r="G74" s="175" t="s">
        <v>90</v>
      </c>
      <c r="H74" s="41" t="s">
        <v>188</v>
      </c>
      <c r="I74" s="41" t="s">
        <v>91</v>
      </c>
      <c r="J74" s="41" t="s">
        <v>20</v>
      </c>
      <c r="K74" s="188">
        <v>750</v>
      </c>
      <c r="L74" s="184">
        <v>146</v>
      </c>
      <c r="M74" s="203" t="s">
        <v>18</v>
      </c>
      <c r="N74" s="41" t="s">
        <v>88</v>
      </c>
      <c r="O74" s="55">
        <v>62.4</v>
      </c>
      <c r="P74" s="147">
        <v>22.489775454637158</v>
      </c>
      <c r="Q74" s="54"/>
      <c r="R74" s="54"/>
      <c r="S74" s="55"/>
      <c r="T74" s="188"/>
    </row>
    <row r="75" spans="1:20" ht="14.25" customHeight="1">
      <c r="A75" s="41" t="s">
        <v>94</v>
      </c>
      <c r="B75" s="41" t="s">
        <v>89</v>
      </c>
      <c r="C75" s="54" t="s">
        <v>169</v>
      </c>
      <c r="D75" s="92">
        <v>-35.50134323404064</v>
      </c>
      <c r="E75" s="92">
        <v>-6.2770915257477062</v>
      </c>
      <c r="F75" s="41">
        <v>2012</v>
      </c>
      <c r="G75" s="175" t="s">
        <v>90</v>
      </c>
      <c r="H75" s="41" t="s">
        <v>188</v>
      </c>
      <c r="I75" s="41" t="s">
        <v>91</v>
      </c>
      <c r="J75" s="41" t="s">
        <v>20</v>
      </c>
      <c r="K75" s="188">
        <v>600</v>
      </c>
      <c r="L75" s="184">
        <v>146</v>
      </c>
      <c r="M75" s="203" t="s">
        <v>18</v>
      </c>
      <c r="N75" s="41" t="s">
        <v>88</v>
      </c>
      <c r="O75" s="55">
        <v>40.174999999999997</v>
      </c>
      <c r="P75" s="147">
        <v>14.935500214812587</v>
      </c>
      <c r="Q75" s="54"/>
      <c r="R75" s="54"/>
      <c r="S75" s="55"/>
      <c r="T75" s="188"/>
    </row>
    <row r="76" spans="1:20" ht="14.25" customHeight="1" thickBot="1">
      <c r="A76" s="167" t="s">
        <v>94</v>
      </c>
      <c r="B76" s="167" t="s">
        <v>89</v>
      </c>
      <c r="C76" s="191" t="s">
        <v>120</v>
      </c>
      <c r="D76" s="93">
        <v>-42.805270458223347</v>
      </c>
      <c r="E76" s="93">
        <v>-5.0863419523217006</v>
      </c>
      <c r="F76" s="167">
        <v>2012</v>
      </c>
      <c r="G76" s="176" t="s">
        <v>90</v>
      </c>
      <c r="H76" s="167" t="s">
        <v>188</v>
      </c>
      <c r="I76" s="167" t="s">
        <v>91</v>
      </c>
      <c r="J76" s="167" t="s">
        <v>20</v>
      </c>
      <c r="K76" s="191">
        <v>600</v>
      </c>
      <c r="L76" s="186">
        <v>146</v>
      </c>
      <c r="M76" s="204" t="s">
        <v>18</v>
      </c>
      <c r="N76" s="167" t="s">
        <v>88</v>
      </c>
      <c r="O76" s="191">
        <v>81.2</v>
      </c>
      <c r="P76" s="177">
        <v>15.078240392477252</v>
      </c>
      <c r="Q76" s="55"/>
      <c r="R76" s="54"/>
      <c r="S76" s="55"/>
      <c r="T76" s="188"/>
    </row>
    <row r="77" spans="1:20" ht="14.25" customHeight="1">
      <c r="A77" s="41" t="s">
        <v>94</v>
      </c>
      <c r="B77" s="41" t="s">
        <v>89</v>
      </c>
      <c r="C77" s="187" t="s">
        <v>124</v>
      </c>
      <c r="D77" s="268"/>
      <c r="E77" s="269"/>
      <c r="F77" s="41">
        <v>2012</v>
      </c>
      <c r="G77" s="171" t="s">
        <v>90</v>
      </c>
      <c r="H77" s="41" t="s">
        <v>188</v>
      </c>
      <c r="I77" s="170" t="s">
        <v>91</v>
      </c>
      <c r="J77" s="170" t="s">
        <v>93</v>
      </c>
      <c r="K77" s="41">
        <v>600</v>
      </c>
      <c r="L77" s="184">
        <v>146</v>
      </c>
      <c r="M77" s="203" t="s">
        <v>18</v>
      </c>
      <c r="N77" s="41" t="s">
        <v>88</v>
      </c>
      <c r="O77" s="41">
        <v>100</v>
      </c>
      <c r="P77" s="184">
        <v>0</v>
      </c>
      <c r="Q77" s="55"/>
      <c r="R77" s="54"/>
      <c r="S77" s="54"/>
      <c r="T77" s="54"/>
    </row>
    <row r="78" spans="1:20" ht="14.25" customHeight="1">
      <c r="A78" s="41" t="s">
        <v>94</v>
      </c>
      <c r="B78" s="41" t="s">
        <v>89</v>
      </c>
      <c r="C78" s="54" t="s">
        <v>100</v>
      </c>
      <c r="D78" s="92">
        <v>-50.439226072752582</v>
      </c>
      <c r="E78" s="92">
        <v>-21.205476000000004</v>
      </c>
      <c r="F78" s="41">
        <v>2012</v>
      </c>
      <c r="G78" s="175" t="s">
        <v>90</v>
      </c>
      <c r="H78" s="41" t="s">
        <v>188</v>
      </c>
      <c r="I78" s="41" t="s">
        <v>91</v>
      </c>
      <c r="J78" s="41" t="s">
        <v>93</v>
      </c>
      <c r="K78" s="188">
        <v>1050</v>
      </c>
      <c r="L78" s="184">
        <v>292</v>
      </c>
      <c r="M78" s="203" t="s">
        <v>18</v>
      </c>
      <c r="N78" s="41" t="s">
        <v>88</v>
      </c>
      <c r="O78" s="55">
        <v>89.785714285714292</v>
      </c>
      <c r="P78" s="184">
        <v>12.8</v>
      </c>
      <c r="Q78" s="55"/>
      <c r="R78" s="54"/>
      <c r="S78" s="54"/>
      <c r="T78" s="54"/>
    </row>
    <row r="79" spans="1:20" ht="14.25" customHeight="1">
      <c r="A79" s="41" t="s">
        <v>94</v>
      </c>
      <c r="B79" s="41" t="s">
        <v>89</v>
      </c>
      <c r="C79" s="54" t="s">
        <v>101</v>
      </c>
      <c r="D79" s="92">
        <v>-48.567377839455055</v>
      </c>
      <c r="E79" s="92">
        <v>-20.558455515000002</v>
      </c>
      <c r="F79" s="41">
        <v>2012</v>
      </c>
      <c r="G79" s="175" t="s">
        <v>90</v>
      </c>
      <c r="H79" s="41" t="s">
        <v>188</v>
      </c>
      <c r="I79" s="41" t="s">
        <v>91</v>
      </c>
      <c r="J79" s="41" t="s">
        <v>93</v>
      </c>
      <c r="K79" s="188">
        <v>600</v>
      </c>
      <c r="L79" s="184">
        <v>292</v>
      </c>
      <c r="M79" s="203" t="s">
        <v>18</v>
      </c>
      <c r="N79" s="41" t="s">
        <v>88</v>
      </c>
      <c r="O79" s="188">
        <v>100</v>
      </c>
      <c r="P79" s="184">
        <v>0</v>
      </c>
      <c r="Q79" s="54"/>
      <c r="R79" s="54"/>
      <c r="S79" s="54"/>
      <c r="T79" s="54"/>
    </row>
    <row r="80" spans="1:20" ht="14.25" customHeight="1">
      <c r="A80" s="41" t="s">
        <v>94</v>
      </c>
      <c r="B80" s="41" t="s">
        <v>89</v>
      </c>
      <c r="C80" s="54" t="s">
        <v>102</v>
      </c>
      <c r="D80" s="92">
        <v>-49.083000867090362</v>
      </c>
      <c r="E80" s="92">
        <v>-22.325122500000006</v>
      </c>
      <c r="F80" s="41">
        <v>2012</v>
      </c>
      <c r="G80" s="175" t="s">
        <v>90</v>
      </c>
      <c r="H80" s="41" t="s">
        <v>188</v>
      </c>
      <c r="I80" s="41" t="s">
        <v>91</v>
      </c>
      <c r="J80" s="41" t="s">
        <v>93</v>
      </c>
      <c r="K80" s="188">
        <v>600</v>
      </c>
      <c r="L80" s="184">
        <v>292</v>
      </c>
      <c r="M80" s="203" t="s">
        <v>18</v>
      </c>
      <c r="N80" s="41" t="s">
        <v>88</v>
      </c>
      <c r="O80" s="55">
        <v>99.5</v>
      </c>
      <c r="P80" s="184">
        <v>1</v>
      </c>
      <c r="Q80" s="41"/>
      <c r="R80" s="41"/>
      <c r="S80" s="41"/>
    </row>
    <row r="81" spans="1:19" ht="14.25" customHeight="1">
      <c r="A81" s="41" t="s">
        <v>94</v>
      </c>
      <c r="B81" s="41" t="s">
        <v>89</v>
      </c>
      <c r="C81" s="54" t="s">
        <v>103</v>
      </c>
      <c r="D81" s="92">
        <v>-48.441289384350434</v>
      </c>
      <c r="E81" s="92">
        <v>-22.888381500000008</v>
      </c>
      <c r="F81" s="41">
        <v>2012</v>
      </c>
      <c r="G81" s="175" t="s">
        <v>90</v>
      </c>
      <c r="H81" s="41" t="s">
        <v>188</v>
      </c>
      <c r="I81" s="41" t="s">
        <v>91</v>
      </c>
      <c r="J81" s="41" t="s">
        <v>93</v>
      </c>
      <c r="K81" s="188">
        <v>450</v>
      </c>
      <c r="L81" s="184">
        <v>292</v>
      </c>
      <c r="M81" s="203" t="s">
        <v>18</v>
      </c>
      <c r="N81" s="41" t="s">
        <v>88</v>
      </c>
      <c r="O81" s="55">
        <v>99.266666666666666</v>
      </c>
      <c r="P81" s="184">
        <v>0.6</v>
      </c>
      <c r="Q81" s="41"/>
      <c r="R81" s="41"/>
      <c r="S81" s="41"/>
    </row>
    <row r="82" spans="1:19" ht="14.25" customHeight="1">
      <c r="A82" s="41" t="s">
        <v>94</v>
      </c>
      <c r="B82" s="41" t="s">
        <v>89</v>
      </c>
      <c r="C82" s="54" t="s">
        <v>104</v>
      </c>
      <c r="D82" s="92">
        <v>-48.441289384350434</v>
      </c>
      <c r="E82" s="92">
        <v>-22.888381500000008</v>
      </c>
      <c r="F82" s="41">
        <v>2012</v>
      </c>
      <c r="G82" s="175" t="s">
        <v>90</v>
      </c>
      <c r="H82" s="41" t="s">
        <v>188</v>
      </c>
      <c r="I82" s="41" t="s">
        <v>91</v>
      </c>
      <c r="J82" s="41" t="s">
        <v>93</v>
      </c>
      <c r="K82" s="54">
        <v>600</v>
      </c>
      <c r="L82" s="184">
        <v>292</v>
      </c>
      <c r="M82" s="203" t="s">
        <v>18</v>
      </c>
      <c r="N82" s="41" t="s">
        <v>88</v>
      </c>
      <c r="O82" s="55">
        <v>97</v>
      </c>
      <c r="P82" s="184">
        <v>2.8</v>
      </c>
      <c r="Q82" s="41"/>
      <c r="R82" s="41"/>
      <c r="S82" s="41"/>
    </row>
    <row r="83" spans="1:19" ht="14.25" customHeight="1">
      <c r="A83" s="41" t="s">
        <v>94</v>
      </c>
      <c r="B83" s="41" t="s">
        <v>89</v>
      </c>
      <c r="C83" s="54" t="s">
        <v>106</v>
      </c>
      <c r="D83" s="92">
        <v>-46.933372863488053</v>
      </c>
      <c r="E83" s="92">
        <v>-23.546934000000004</v>
      </c>
      <c r="F83" s="41">
        <v>2012</v>
      </c>
      <c r="G83" s="175" t="s">
        <v>90</v>
      </c>
      <c r="H83" s="41" t="s">
        <v>188</v>
      </c>
      <c r="I83" s="41" t="s">
        <v>91</v>
      </c>
      <c r="J83" s="41" t="s">
        <v>93</v>
      </c>
      <c r="K83" s="54">
        <v>600</v>
      </c>
      <c r="L83" s="184">
        <v>292</v>
      </c>
      <c r="M83" s="203" t="s">
        <v>18</v>
      </c>
      <c r="N83" s="41" t="s">
        <v>88</v>
      </c>
      <c r="O83" s="55">
        <v>99.474999999999994</v>
      </c>
      <c r="P83" s="184">
        <v>0.5</v>
      </c>
      <c r="Q83" s="41"/>
      <c r="R83" s="41"/>
      <c r="S83" s="41"/>
    </row>
    <row r="84" spans="1:19" ht="14.25" customHeight="1">
      <c r="A84" s="41" t="s">
        <v>94</v>
      </c>
      <c r="B84" s="41" t="s">
        <v>89</v>
      </c>
      <c r="C84" s="54" t="s">
        <v>107</v>
      </c>
      <c r="D84" s="92">
        <v>-49.951645643103269</v>
      </c>
      <c r="E84" s="92">
        <v>-22.214933000000002</v>
      </c>
      <c r="F84" s="41">
        <v>2012</v>
      </c>
      <c r="G84" s="175" t="s">
        <v>90</v>
      </c>
      <c r="H84" s="41" t="s">
        <v>188</v>
      </c>
      <c r="I84" s="41" t="s">
        <v>91</v>
      </c>
      <c r="J84" s="41" t="s">
        <v>93</v>
      </c>
      <c r="K84" s="188">
        <v>600</v>
      </c>
      <c r="L84" s="184">
        <v>292</v>
      </c>
      <c r="M84" s="203" t="s">
        <v>18</v>
      </c>
      <c r="N84" s="41" t="s">
        <v>88</v>
      </c>
      <c r="O84" s="188">
        <v>100</v>
      </c>
      <c r="P84" s="184">
        <v>0</v>
      </c>
    </row>
    <row r="85" spans="1:19" ht="14.25" customHeight="1">
      <c r="A85" s="41" t="s">
        <v>94</v>
      </c>
      <c r="B85" s="41" t="s">
        <v>89</v>
      </c>
      <c r="C85" s="54" t="s">
        <v>108</v>
      </c>
      <c r="D85" s="92">
        <v>-51.386765581912492</v>
      </c>
      <c r="E85" s="92">
        <v>-22.122743500000002</v>
      </c>
      <c r="F85" s="41">
        <v>2012</v>
      </c>
      <c r="G85" s="175" t="s">
        <v>90</v>
      </c>
      <c r="H85" s="41" t="s">
        <v>188</v>
      </c>
      <c r="I85" s="41" t="s">
        <v>91</v>
      </c>
      <c r="J85" s="41" t="s">
        <v>93</v>
      </c>
      <c r="K85" s="188">
        <v>600</v>
      </c>
      <c r="L85" s="184">
        <v>292</v>
      </c>
      <c r="M85" s="203" t="s">
        <v>18</v>
      </c>
      <c r="N85" s="41" t="s">
        <v>88</v>
      </c>
      <c r="O85" s="188">
        <v>100</v>
      </c>
      <c r="P85" s="184">
        <v>0</v>
      </c>
    </row>
    <row r="86" spans="1:19" ht="14.25" customHeight="1">
      <c r="A86" s="41" t="s">
        <v>94</v>
      </c>
      <c r="B86" s="41" t="s">
        <v>89</v>
      </c>
      <c r="C86" s="54" t="s">
        <v>109</v>
      </c>
      <c r="D86" s="92">
        <v>-47.805475915541528</v>
      </c>
      <c r="E86" s="92">
        <v>-21.184834500000004</v>
      </c>
      <c r="F86" s="41">
        <v>2012</v>
      </c>
      <c r="G86" s="175" t="s">
        <v>90</v>
      </c>
      <c r="H86" s="41" t="s">
        <v>188</v>
      </c>
      <c r="I86" s="41" t="s">
        <v>91</v>
      </c>
      <c r="J86" s="41" t="s">
        <v>93</v>
      </c>
      <c r="K86" s="188">
        <v>600</v>
      </c>
      <c r="L86" s="184">
        <v>292</v>
      </c>
      <c r="M86" s="203" t="s">
        <v>18</v>
      </c>
      <c r="N86" s="41" t="s">
        <v>88</v>
      </c>
      <c r="O86" s="55">
        <v>98.7</v>
      </c>
      <c r="P86" s="184">
        <v>2.6</v>
      </c>
    </row>
    <row r="87" spans="1:19" ht="14.25" customHeight="1">
      <c r="A87" s="41" t="s">
        <v>94</v>
      </c>
      <c r="B87" s="41" t="s">
        <v>89</v>
      </c>
      <c r="C87" s="54" t="s">
        <v>127</v>
      </c>
      <c r="D87" s="92">
        <v>-46.922092505649722</v>
      </c>
      <c r="E87" s="92">
        <v>-23.449453000000005</v>
      </c>
      <c r="F87" s="41">
        <v>2012</v>
      </c>
      <c r="G87" s="175" t="s">
        <v>90</v>
      </c>
      <c r="H87" s="41" t="s">
        <v>188</v>
      </c>
      <c r="I87" s="41" t="s">
        <v>91</v>
      </c>
      <c r="J87" s="41" t="s">
        <v>93</v>
      </c>
      <c r="K87" s="54">
        <v>1050</v>
      </c>
      <c r="L87" s="184">
        <v>292</v>
      </c>
      <c r="M87" s="203" t="s">
        <v>18</v>
      </c>
      <c r="N87" s="41" t="s">
        <v>88</v>
      </c>
      <c r="O87" s="55">
        <v>96.385714285714286</v>
      </c>
      <c r="P87" s="184">
        <v>5.4</v>
      </c>
    </row>
    <row r="88" spans="1:19" ht="14.25" customHeight="1">
      <c r="A88" s="41" t="s">
        <v>94</v>
      </c>
      <c r="B88" s="41" t="s">
        <v>89</v>
      </c>
      <c r="C88" s="54" t="s">
        <v>110</v>
      </c>
      <c r="D88" s="92">
        <v>-46.331370849190684</v>
      </c>
      <c r="E88" s="92">
        <v>-23.933737500000003</v>
      </c>
      <c r="F88" s="41">
        <v>2012</v>
      </c>
      <c r="G88" s="175" t="s">
        <v>90</v>
      </c>
      <c r="H88" s="41" t="s">
        <v>188</v>
      </c>
      <c r="I88" s="41" t="s">
        <v>91</v>
      </c>
      <c r="J88" s="41" t="s">
        <v>93</v>
      </c>
      <c r="K88" s="188">
        <v>750</v>
      </c>
      <c r="L88" s="184">
        <v>292</v>
      </c>
      <c r="M88" s="203" t="s">
        <v>18</v>
      </c>
      <c r="N88" s="41" t="s">
        <v>88</v>
      </c>
      <c r="O88" s="188">
        <v>100</v>
      </c>
      <c r="P88" s="184">
        <v>0</v>
      </c>
    </row>
    <row r="89" spans="1:19" ht="14.25" customHeight="1">
      <c r="A89" s="41" t="s">
        <v>94</v>
      </c>
      <c r="B89" s="41" t="s">
        <v>89</v>
      </c>
      <c r="C89" s="149" t="s">
        <v>131</v>
      </c>
      <c r="D89" s="92">
        <v>-49.381347685025794</v>
      </c>
      <c r="E89" s="92">
        <v>-20.812636500000004</v>
      </c>
      <c r="F89" s="41">
        <v>2012</v>
      </c>
      <c r="G89" s="175" t="s">
        <v>90</v>
      </c>
      <c r="H89" s="41" t="s">
        <v>188</v>
      </c>
      <c r="I89" s="41" t="s">
        <v>91</v>
      </c>
      <c r="J89" s="41" t="s">
        <v>93</v>
      </c>
      <c r="K89" s="54">
        <v>450</v>
      </c>
      <c r="L89" s="184">
        <v>292</v>
      </c>
      <c r="M89" s="203" t="s">
        <v>18</v>
      </c>
      <c r="N89" s="41" t="s">
        <v>88</v>
      </c>
      <c r="O89" s="54">
        <v>100</v>
      </c>
      <c r="P89" s="184">
        <v>0</v>
      </c>
    </row>
    <row r="90" spans="1:19" ht="14.25" customHeight="1">
      <c r="A90" s="41" t="s">
        <v>94</v>
      </c>
      <c r="B90" s="41" t="s">
        <v>89</v>
      </c>
      <c r="C90" s="54" t="s">
        <v>113</v>
      </c>
      <c r="D90" s="96">
        <v>-36.551091902005247</v>
      </c>
      <c r="E90" s="96">
        <v>-9.9316573889236714</v>
      </c>
      <c r="F90" s="41">
        <v>2012</v>
      </c>
      <c r="G90" s="175" t="s">
        <v>90</v>
      </c>
      <c r="H90" s="41" t="s">
        <v>188</v>
      </c>
      <c r="I90" s="41" t="s">
        <v>91</v>
      </c>
      <c r="J90" s="41" t="s">
        <v>93</v>
      </c>
      <c r="K90" s="54">
        <v>600</v>
      </c>
      <c r="L90" s="184">
        <v>292</v>
      </c>
      <c r="M90" s="203" t="s">
        <v>18</v>
      </c>
      <c r="N90" s="41" t="s">
        <v>88</v>
      </c>
      <c r="O90" s="54">
        <v>99.9</v>
      </c>
      <c r="P90" s="184">
        <v>0.2</v>
      </c>
    </row>
    <row r="91" spans="1:19" ht="14.25" customHeight="1">
      <c r="A91" s="41" t="s">
        <v>94</v>
      </c>
      <c r="B91" s="41" t="s">
        <v>89</v>
      </c>
      <c r="C91" s="54" t="s">
        <v>165</v>
      </c>
      <c r="D91" s="92">
        <v>-59.594559019496884</v>
      </c>
      <c r="E91" s="92">
        <v>-4.390619891472725</v>
      </c>
      <c r="F91" s="41">
        <v>2012</v>
      </c>
      <c r="G91" s="175" t="s">
        <v>90</v>
      </c>
      <c r="H91" s="41" t="s">
        <v>188</v>
      </c>
      <c r="I91" s="41" t="s">
        <v>91</v>
      </c>
      <c r="J91" s="41" t="s">
        <v>93</v>
      </c>
      <c r="K91" s="54">
        <v>600</v>
      </c>
      <c r="L91" s="184">
        <v>292</v>
      </c>
      <c r="M91" s="203" t="s">
        <v>18</v>
      </c>
      <c r="N91" s="41" t="s">
        <v>88</v>
      </c>
      <c r="O91" s="55">
        <v>96.474999999999994</v>
      </c>
      <c r="P91" s="184">
        <v>0.5</v>
      </c>
    </row>
    <row r="92" spans="1:19" ht="14.25" customHeight="1">
      <c r="A92" s="41" t="s">
        <v>94</v>
      </c>
      <c r="B92" s="41" t="s">
        <v>89</v>
      </c>
      <c r="C92" s="54" t="s">
        <v>119</v>
      </c>
      <c r="D92" s="92">
        <v>-60.023335181061036</v>
      </c>
      <c r="E92" s="92">
        <v>-3.1346914912019459</v>
      </c>
      <c r="F92" s="41">
        <v>2012</v>
      </c>
      <c r="G92" s="175" t="s">
        <v>90</v>
      </c>
      <c r="H92" s="41" t="s">
        <v>188</v>
      </c>
      <c r="I92" s="41" t="s">
        <v>91</v>
      </c>
      <c r="J92" s="41" t="s">
        <v>93</v>
      </c>
      <c r="K92" s="54">
        <v>600</v>
      </c>
      <c r="L92" s="184">
        <v>292</v>
      </c>
      <c r="M92" s="203" t="s">
        <v>18</v>
      </c>
      <c r="N92" s="41" t="s">
        <v>88</v>
      </c>
      <c r="O92" s="188">
        <v>100</v>
      </c>
      <c r="P92" s="184">
        <v>0</v>
      </c>
    </row>
    <row r="93" spans="1:19" ht="14.25" customHeight="1">
      <c r="A93" s="41" t="s">
        <v>94</v>
      </c>
      <c r="B93" s="41" t="s">
        <v>89</v>
      </c>
      <c r="C93" s="54" t="s">
        <v>166</v>
      </c>
      <c r="D93" s="92">
        <v>-45.004168437028525</v>
      </c>
      <c r="E93" s="92">
        <v>-12.144924888390602</v>
      </c>
      <c r="F93" s="41">
        <v>2012</v>
      </c>
      <c r="G93" s="175" t="s">
        <v>90</v>
      </c>
      <c r="H93" s="41" t="s">
        <v>188</v>
      </c>
      <c r="I93" s="41" t="s">
        <v>91</v>
      </c>
      <c r="J93" s="41" t="s">
        <v>93</v>
      </c>
      <c r="K93" s="54">
        <v>600</v>
      </c>
      <c r="L93" s="184">
        <v>292</v>
      </c>
      <c r="M93" s="203" t="s">
        <v>18</v>
      </c>
      <c r="N93" s="41" t="s">
        <v>88</v>
      </c>
      <c r="O93" s="54">
        <v>100</v>
      </c>
      <c r="P93" s="184">
        <v>0</v>
      </c>
    </row>
    <row r="94" spans="1:19" ht="14.25" customHeight="1">
      <c r="A94" s="41" t="s">
        <v>94</v>
      </c>
      <c r="B94" s="41" t="s">
        <v>89</v>
      </c>
      <c r="C94" s="54" t="s">
        <v>163</v>
      </c>
      <c r="D94" s="92">
        <v>-39.584171940986373</v>
      </c>
      <c r="E94" s="92">
        <v>-16.375167232256405</v>
      </c>
      <c r="F94" s="41">
        <v>2012</v>
      </c>
      <c r="G94" s="175" t="s">
        <v>90</v>
      </c>
      <c r="H94" s="41" t="s">
        <v>188</v>
      </c>
      <c r="I94" s="41" t="s">
        <v>91</v>
      </c>
      <c r="J94" s="41" t="s">
        <v>93</v>
      </c>
      <c r="K94" s="54">
        <v>600</v>
      </c>
      <c r="L94" s="184">
        <v>292</v>
      </c>
      <c r="M94" s="203" t="s">
        <v>18</v>
      </c>
      <c r="N94" s="41" t="s">
        <v>88</v>
      </c>
      <c r="O94" s="54">
        <v>100</v>
      </c>
      <c r="P94" s="184">
        <v>0</v>
      </c>
    </row>
    <row r="95" spans="1:19" ht="14.25" customHeight="1">
      <c r="A95" s="41" t="s">
        <v>94</v>
      </c>
      <c r="B95" s="41" t="s">
        <v>89</v>
      </c>
      <c r="C95" s="54" t="s">
        <v>167</v>
      </c>
      <c r="D95" s="92">
        <v>-43.218696264965466</v>
      </c>
      <c r="E95" s="92">
        <v>-12.184013569044852</v>
      </c>
      <c r="F95" s="41">
        <v>2012</v>
      </c>
      <c r="G95" s="175" t="s">
        <v>90</v>
      </c>
      <c r="H95" s="41" t="s">
        <v>188</v>
      </c>
      <c r="I95" s="41" t="s">
        <v>91</v>
      </c>
      <c r="J95" s="41" t="s">
        <v>93</v>
      </c>
      <c r="K95" s="54">
        <v>600</v>
      </c>
      <c r="L95" s="184">
        <v>292</v>
      </c>
      <c r="M95" s="203" t="s">
        <v>18</v>
      </c>
      <c r="N95" s="41" t="s">
        <v>88</v>
      </c>
      <c r="O95" s="54">
        <v>100</v>
      </c>
      <c r="P95" s="184">
        <v>0</v>
      </c>
    </row>
    <row r="96" spans="1:19" ht="14.25" customHeight="1">
      <c r="A96" s="41" t="s">
        <v>94</v>
      </c>
      <c r="B96" s="41" t="s">
        <v>89</v>
      </c>
      <c r="C96" s="54" t="s">
        <v>168</v>
      </c>
      <c r="D96" s="92">
        <v>-40.088607327476304</v>
      </c>
      <c r="E96" s="92">
        <v>-13.855664007664052</v>
      </c>
      <c r="F96" s="41">
        <v>2012</v>
      </c>
      <c r="G96" s="175" t="s">
        <v>90</v>
      </c>
      <c r="H96" s="41" t="s">
        <v>188</v>
      </c>
      <c r="I96" s="41" t="s">
        <v>91</v>
      </c>
      <c r="J96" s="41" t="s">
        <v>93</v>
      </c>
      <c r="K96" s="54">
        <v>600</v>
      </c>
      <c r="L96" s="184">
        <v>292</v>
      </c>
      <c r="M96" s="203" t="s">
        <v>18</v>
      </c>
      <c r="N96" s="41" t="s">
        <v>88</v>
      </c>
      <c r="O96" s="55">
        <v>99.25</v>
      </c>
      <c r="P96" s="184">
        <v>0.6</v>
      </c>
    </row>
    <row r="97" spans="1:18" ht="14.25" customHeight="1">
      <c r="A97" s="41" t="s">
        <v>94</v>
      </c>
      <c r="B97" s="41" t="s">
        <v>89</v>
      </c>
      <c r="C97" s="54" t="s">
        <v>164</v>
      </c>
      <c r="D97" s="92">
        <v>-38.21832896822621</v>
      </c>
      <c r="E97" s="92">
        <v>-9.4033316973782313</v>
      </c>
      <c r="F97" s="41">
        <v>2012</v>
      </c>
      <c r="G97" s="175" t="s">
        <v>90</v>
      </c>
      <c r="H97" s="41" t="s">
        <v>188</v>
      </c>
      <c r="I97" s="41" t="s">
        <v>91</v>
      </c>
      <c r="J97" s="41" t="s">
        <v>93</v>
      </c>
      <c r="K97" s="54">
        <v>750</v>
      </c>
      <c r="L97" s="184">
        <v>292</v>
      </c>
      <c r="M97" s="203" t="s">
        <v>18</v>
      </c>
      <c r="N97" s="41" t="s">
        <v>88</v>
      </c>
      <c r="O97" s="54">
        <v>97.8</v>
      </c>
      <c r="P97" s="184">
        <v>3.3</v>
      </c>
    </row>
    <row r="98" spans="1:18" ht="14.25" customHeight="1">
      <c r="A98" s="41" t="s">
        <v>94</v>
      </c>
      <c r="B98" s="41" t="s">
        <v>89</v>
      </c>
      <c r="C98" s="54" t="s">
        <v>169</v>
      </c>
      <c r="D98" s="92">
        <v>-35.50134323404064</v>
      </c>
      <c r="E98" s="92">
        <v>-6.2770915257477062</v>
      </c>
      <c r="F98" s="41">
        <v>2012</v>
      </c>
      <c r="G98" s="175" t="s">
        <v>90</v>
      </c>
      <c r="H98" s="41" t="s">
        <v>188</v>
      </c>
      <c r="I98" s="41" t="s">
        <v>91</v>
      </c>
      <c r="J98" s="41" t="s">
        <v>93</v>
      </c>
      <c r="K98" s="54">
        <v>750</v>
      </c>
      <c r="L98" s="184">
        <v>292</v>
      </c>
      <c r="M98" s="203" t="s">
        <v>18</v>
      </c>
      <c r="N98" s="41" t="s">
        <v>88</v>
      </c>
      <c r="O98" s="55">
        <v>91.775000000000006</v>
      </c>
      <c r="P98" s="184">
        <v>8.9</v>
      </c>
    </row>
    <row r="99" spans="1:18" ht="14.25" customHeight="1">
      <c r="A99" s="41" t="s">
        <v>94</v>
      </c>
      <c r="B99" s="41" t="s">
        <v>89</v>
      </c>
      <c r="C99" s="54" t="s">
        <v>141</v>
      </c>
      <c r="D99" s="92">
        <v>-47.887905478031342</v>
      </c>
      <c r="E99" s="92">
        <v>-15.794087361891002</v>
      </c>
      <c r="F99" s="41">
        <v>2012</v>
      </c>
      <c r="G99" s="175" t="s">
        <v>90</v>
      </c>
      <c r="H99" s="41" t="s">
        <v>188</v>
      </c>
      <c r="I99" s="41" t="s">
        <v>91</v>
      </c>
      <c r="J99" s="41" t="s">
        <v>93</v>
      </c>
      <c r="K99" s="54">
        <v>750</v>
      </c>
      <c r="L99" s="184">
        <v>292</v>
      </c>
      <c r="M99" s="203" t="s">
        <v>18</v>
      </c>
      <c r="N99" s="41" t="s">
        <v>88</v>
      </c>
      <c r="O99" s="55">
        <v>99.24</v>
      </c>
      <c r="P99" s="184">
        <v>1.5</v>
      </c>
    </row>
    <row r="100" spans="1:18" ht="14.25" customHeight="1">
      <c r="A100" s="41" t="s">
        <v>94</v>
      </c>
      <c r="B100" s="41" t="s">
        <v>89</v>
      </c>
      <c r="C100" s="54" t="s">
        <v>170</v>
      </c>
      <c r="D100" s="92">
        <v>-57.648985457340132</v>
      </c>
      <c r="E100" s="92">
        <v>-19.006374654645803</v>
      </c>
      <c r="F100" s="41">
        <v>2012</v>
      </c>
      <c r="G100" s="175" t="s">
        <v>90</v>
      </c>
      <c r="H100" s="41" t="s">
        <v>188</v>
      </c>
      <c r="I100" s="41" t="s">
        <v>91</v>
      </c>
      <c r="J100" s="41" t="s">
        <v>93</v>
      </c>
      <c r="K100" s="54">
        <v>750</v>
      </c>
      <c r="L100" s="184">
        <v>292</v>
      </c>
      <c r="M100" s="203" t="s">
        <v>18</v>
      </c>
      <c r="N100" s="41" t="s">
        <v>88</v>
      </c>
      <c r="O100" s="55">
        <v>98.759999999999991</v>
      </c>
      <c r="P100" s="184">
        <v>2.2000000000000002</v>
      </c>
      <c r="Q100" s="254"/>
      <c r="R100" s="254"/>
    </row>
    <row r="101" spans="1:18" ht="14.25" customHeight="1" thickBot="1">
      <c r="A101" s="167" t="s">
        <v>94</v>
      </c>
      <c r="B101" s="167" t="s">
        <v>89</v>
      </c>
      <c r="C101" s="191" t="s">
        <v>120</v>
      </c>
      <c r="D101" s="93">
        <v>-42.805270458223347</v>
      </c>
      <c r="E101" s="93">
        <v>-5.0863419523217006</v>
      </c>
      <c r="F101" s="167">
        <v>2012</v>
      </c>
      <c r="G101" s="176" t="s">
        <v>90</v>
      </c>
      <c r="H101" s="167" t="s">
        <v>188</v>
      </c>
      <c r="I101" s="167" t="s">
        <v>91</v>
      </c>
      <c r="J101" s="167" t="s">
        <v>93</v>
      </c>
      <c r="K101" s="191">
        <v>450</v>
      </c>
      <c r="L101" s="186">
        <v>292</v>
      </c>
      <c r="M101" s="204" t="s">
        <v>18</v>
      </c>
      <c r="N101" s="167" t="s">
        <v>88</v>
      </c>
      <c r="O101" s="191">
        <v>100</v>
      </c>
      <c r="P101" s="186">
        <v>0</v>
      </c>
      <c r="Q101" s="189"/>
      <c r="R101" s="189"/>
    </row>
    <row r="102" spans="1:18" ht="14.25" customHeight="1">
      <c r="A102" s="41" t="s">
        <v>94</v>
      </c>
      <c r="B102" s="41" t="s">
        <v>89</v>
      </c>
      <c r="C102" s="187" t="s">
        <v>124</v>
      </c>
      <c r="D102" s="268"/>
      <c r="E102" s="269"/>
      <c r="F102" s="41">
        <v>2012</v>
      </c>
      <c r="G102" s="171" t="s">
        <v>90</v>
      </c>
      <c r="H102" s="41" t="s">
        <v>188</v>
      </c>
      <c r="I102" s="170" t="s">
        <v>91</v>
      </c>
      <c r="J102" s="170" t="s">
        <v>21</v>
      </c>
      <c r="K102" s="172">
        <v>600</v>
      </c>
      <c r="L102" s="192">
        <v>9</v>
      </c>
      <c r="M102" s="203" t="s">
        <v>18</v>
      </c>
      <c r="N102" s="41" t="s">
        <v>88</v>
      </c>
      <c r="O102" s="41">
        <v>100</v>
      </c>
      <c r="P102" s="184">
        <v>0</v>
      </c>
      <c r="Q102" s="55"/>
      <c r="R102" s="188"/>
    </row>
    <row r="103" spans="1:18" ht="14.25" customHeight="1">
      <c r="A103" s="41" t="s">
        <v>94</v>
      </c>
      <c r="B103" s="41" t="s">
        <v>89</v>
      </c>
      <c r="C103" s="54" t="s">
        <v>100</v>
      </c>
      <c r="D103" s="92">
        <v>-50.439226072752582</v>
      </c>
      <c r="E103" s="92">
        <v>-21.205476000000004</v>
      </c>
      <c r="F103" s="41">
        <v>2012</v>
      </c>
      <c r="G103" s="175" t="s">
        <v>90</v>
      </c>
      <c r="H103" s="41" t="s">
        <v>188</v>
      </c>
      <c r="I103" s="41" t="s">
        <v>91</v>
      </c>
      <c r="J103" s="41" t="s">
        <v>21</v>
      </c>
      <c r="K103" s="281">
        <v>600</v>
      </c>
      <c r="L103" s="184">
        <v>18</v>
      </c>
      <c r="M103" s="203" t="s">
        <v>18</v>
      </c>
      <c r="N103" s="41" t="s">
        <v>88</v>
      </c>
      <c r="O103" s="280">
        <v>48.199999999999996</v>
      </c>
      <c r="P103" s="184">
        <v>10.1</v>
      </c>
      <c r="Q103" s="55"/>
      <c r="R103" s="188"/>
    </row>
    <row r="104" spans="1:18" ht="14.25" customHeight="1">
      <c r="A104" s="41" t="s">
        <v>94</v>
      </c>
      <c r="B104" s="41" t="s">
        <v>89</v>
      </c>
      <c r="C104" s="54" t="s">
        <v>101</v>
      </c>
      <c r="D104" s="92">
        <v>-48.567377839455055</v>
      </c>
      <c r="E104" s="92">
        <v>-20.558455515000002</v>
      </c>
      <c r="F104" s="41">
        <v>2012</v>
      </c>
      <c r="G104" s="175" t="s">
        <v>90</v>
      </c>
      <c r="H104" s="41" t="s">
        <v>188</v>
      </c>
      <c r="I104" s="41" t="s">
        <v>91</v>
      </c>
      <c r="J104" s="41" t="s">
        <v>21</v>
      </c>
      <c r="K104" s="188">
        <v>600</v>
      </c>
      <c r="L104" s="184">
        <v>18</v>
      </c>
      <c r="M104" s="203" t="s">
        <v>18</v>
      </c>
      <c r="N104" s="41" t="s">
        <v>88</v>
      </c>
      <c r="O104" s="55">
        <v>46.25</v>
      </c>
      <c r="P104" s="184">
        <v>10</v>
      </c>
      <c r="Q104" s="55"/>
      <c r="R104" s="188"/>
    </row>
    <row r="105" spans="1:18" ht="14.25" customHeight="1">
      <c r="A105" s="41" t="s">
        <v>94</v>
      </c>
      <c r="B105" s="41" t="s">
        <v>89</v>
      </c>
      <c r="C105" s="54" t="s">
        <v>102</v>
      </c>
      <c r="D105" s="92">
        <v>-49.083000867090362</v>
      </c>
      <c r="E105" s="92">
        <v>-22.325122500000006</v>
      </c>
      <c r="F105" s="41">
        <v>2012</v>
      </c>
      <c r="G105" s="175" t="s">
        <v>90</v>
      </c>
      <c r="H105" s="41" t="s">
        <v>188</v>
      </c>
      <c r="I105" s="41" t="s">
        <v>91</v>
      </c>
      <c r="J105" s="41" t="s">
        <v>21</v>
      </c>
      <c r="K105" s="188">
        <v>600</v>
      </c>
      <c r="L105" s="184">
        <v>18</v>
      </c>
      <c r="M105" s="203" t="s">
        <v>18</v>
      </c>
      <c r="N105" s="41" t="s">
        <v>88</v>
      </c>
      <c r="O105" s="55">
        <v>70.650000000000006</v>
      </c>
      <c r="P105" s="184">
        <v>15.6</v>
      </c>
      <c r="Q105" s="55"/>
      <c r="R105" s="188"/>
    </row>
    <row r="106" spans="1:18" ht="14.25" customHeight="1">
      <c r="A106" s="41" t="s">
        <v>94</v>
      </c>
      <c r="B106" s="41" t="s">
        <v>89</v>
      </c>
      <c r="C106" s="54" t="s">
        <v>103</v>
      </c>
      <c r="D106" s="92">
        <v>-48.441289384350434</v>
      </c>
      <c r="E106" s="92">
        <v>-22.888381500000008</v>
      </c>
      <c r="F106" s="41">
        <v>2012</v>
      </c>
      <c r="G106" s="175" t="s">
        <v>90</v>
      </c>
      <c r="H106" s="41" t="s">
        <v>188</v>
      </c>
      <c r="I106" s="41" t="s">
        <v>91</v>
      </c>
      <c r="J106" s="41" t="s">
        <v>21</v>
      </c>
      <c r="K106" s="188">
        <v>750</v>
      </c>
      <c r="L106" s="184">
        <v>18</v>
      </c>
      <c r="M106" s="203" t="s">
        <v>18</v>
      </c>
      <c r="N106" s="41" t="s">
        <v>88</v>
      </c>
      <c r="O106" s="55">
        <v>92.080000000000013</v>
      </c>
      <c r="P106" s="184">
        <v>5.9</v>
      </c>
      <c r="Q106" s="55"/>
      <c r="R106" s="188"/>
    </row>
    <row r="107" spans="1:18" ht="14.25" customHeight="1">
      <c r="A107" s="41" t="s">
        <v>94</v>
      </c>
      <c r="B107" s="41" t="s">
        <v>89</v>
      </c>
      <c r="C107" s="54" t="s">
        <v>104</v>
      </c>
      <c r="D107" s="92">
        <v>-48.441289384350434</v>
      </c>
      <c r="E107" s="92">
        <v>-22.888381500000008</v>
      </c>
      <c r="F107" s="41">
        <v>2012</v>
      </c>
      <c r="G107" s="175" t="s">
        <v>90</v>
      </c>
      <c r="H107" s="41" t="s">
        <v>188</v>
      </c>
      <c r="I107" s="41" t="s">
        <v>91</v>
      </c>
      <c r="J107" s="41" t="s">
        <v>21</v>
      </c>
      <c r="K107" s="281">
        <v>600</v>
      </c>
      <c r="L107" s="184">
        <v>18</v>
      </c>
      <c r="M107" s="203" t="s">
        <v>18</v>
      </c>
      <c r="N107" s="41" t="s">
        <v>88</v>
      </c>
      <c r="O107" s="280">
        <v>69.875</v>
      </c>
      <c r="P107" s="184">
        <v>3.8</v>
      </c>
      <c r="Q107" s="55"/>
      <c r="R107" s="188"/>
    </row>
    <row r="108" spans="1:18" ht="14.25" customHeight="1">
      <c r="A108" s="41" t="s">
        <v>94</v>
      </c>
      <c r="B108" s="41" t="s">
        <v>89</v>
      </c>
      <c r="C108" s="54" t="s">
        <v>106</v>
      </c>
      <c r="D108" s="92">
        <v>-46.933372863488053</v>
      </c>
      <c r="E108" s="92">
        <v>-23.546934000000004</v>
      </c>
      <c r="F108" s="41">
        <v>2012</v>
      </c>
      <c r="G108" s="175" t="s">
        <v>90</v>
      </c>
      <c r="H108" s="41" t="s">
        <v>188</v>
      </c>
      <c r="I108" s="41" t="s">
        <v>91</v>
      </c>
      <c r="J108" s="41" t="s">
        <v>21</v>
      </c>
      <c r="K108" s="188">
        <v>600</v>
      </c>
      <c r="L108" s="184">
        <v>18</v>
      </c>
      <c r="M108" s="203" t="s">
        <v>18</v>
      </c>
      <c r="N108" s="41" t="s">
        <v>88</v>
      </c>
      <c r="O108" s="55">
        <v>82.174999999999997</v>
      </c>
      <c r="P108" s="184">
        <v>5.5</v>
      </c>
      <c r="Q108" s="55"/>
      <c r="R108" s="188"/>
    </row>
    <row r="109" spans="1:18" ht="14.25" customHeight="1">
      <c r="A109" s="41" t="s">
        <v>94</v>
      </c>
      <c r="B109" s="41" t="s">
        <v>89</v>
      </c>
      <c r="C109" s="54" t="s">
        <v>107</v>
      </c>
      <c r="D109" s="92">
        <v>-49.951645643103269</v>
      </c>
      <c r="E109" s="92">
        <v>-22.214933000000002</v>
      </c>
      <c r="F109" s="41">
        <v>2012</v>
      </c>
      <c r="G109" s="175" t="s">
        <v>90</v>
      </c>
      <c r="H109" s="41" t="s">
        <v>188</v>
      </c>
      <c r="I109" s="41" t="s">
        <v>91</v>
      </c>
      <c r="J109" s="41" t="s">
        <v>21</v>
      </c>
      <c r="K109" s="281">
        <v>600</v>
      </c>
      <c r="L109" s="184">
        <v>18</v>
      </c>
      <c r="M109" s="203" t="s">
        <v>18</v>
      </c>
      <c r="N109" s="41" t="s">
        <v>88</v>
      </c>
      <c r="O109" s="280">
        <v>65.625</v>
      </c>
      <c r="P109" s="184">
        <v>13.7</v>
      </c>
      <c r="Q109" s="55"/>
      <c r="R109" s="188"/>
    </row>
    <row r="110" spans="1:18" ht="14.25" customHeight="1">
      <c r="A110" s="41" t="s">
        <v>94</v>
      </c>
      <c r="B110" s="41" t="s">
        <v>89</v>
      </c>
      <c r="C110" s="54" t="s">
        <v>108</v>
      </c>
      <c r="D110" s="92">
        <v>-51.386765581912492</v>
      </c>
      <c r="E110" s="92">
        <v>-22.122743500000002</v>
      </c>
      <c r="F110" s="41">
        <v>2012</v>
      </c>
      <c r="G110" s="175" t="s">
        <v>90</v>
      </c>
      <c r="H110" s="41" t="s">
        <v>188</v>
      </c>
      <c r="I110" s="41" t="s">
        <v>91</v>
      </c>
      <c r="J110" s="41" t="s">
        <v>21</v>
      </c>
      <c r="K110" s="281">
        <v>600</v>
      </c>
      <c r="L110" s="184">
        <v>18</v>
      </c>
      <c r="M110" s="203" t="s">
        <v>18</v>
      </c>
      <c r="N110" s="41" t="s">
        <v>88</v>
      </c>
      <c r="O110" s="280">
        <v>73.25</v>
      </c>
      <c r="P110" s="184">
        <v>6.7</v>
      </c>
      <c r="Q110" s="55"/>
      <c r="R110" s="188"/>
    </row>
    <row r="111" spans="1:18" ht="14.25" customHeight="1">
      <c r="A111" s="41" t="s">
        <v>94</v>
      </c>
      <c r="B111" s="41" t="s">
        <v>89</v>
      </c>
      <c r="C111" s="54" t="s">
        <v>109</v>
      </c>
      <c r="D111" s="92">
        <v>-47.805475915541528</v>
      </c>
      <c r="E111" s="92">
        <v>-21.184834500000004</v>
      </c>
      <c r="F111" s="41">
        <v>2012</v>
      </c>
      <c r="G111" s="175" t="s">
        <v>90</v>
      </c>
      <c r="H111" s="41" t="s">
        <v>188</v>
      </c>
      <c r="I111" s="41" t="s">
        <v>91</v>
      </c>
      <c r="J111" s="41" t="s">
        <v>21</v>
      </c>
      <c r="K111" s="281">
        <v>600</v>
      </c>
      <c r="L111" s="184">
        <v>18</v>
      </c>
      <c r="M111" s="203" t="s">
        <v>18</v>
      </c>
      <c r="N111" s="41" t="s">
        <v>88</v>
      </c>
      <c r="O111" s="280">
        <v>48.600000000000009</v>
      </c>
      <c r="P111" s="184">
        <v>12.2</v>
      </c>
      <c r="Q111" s="55"/>
      <c r="R111" s="188"/>
    </row>
    <row r="112" spans="1:18" ht="14.25" customHeight="1">
      <c r="A112" s="41" t="s">
        <v>94</v>
      </c>
      <c r="B112" s="41" t="s">
        <v>89</v>
      </c>
      <c r="C112" s="54" t="s">
        <v>127</v>
      </c>
      <c r="D112" s="92">
        <v>-46.922092505649722</v>
      </c>
      <c r="E112" s="92">
        <v>-23.449453000000005</v>
      </c>
      <c r="F112" s="41">
        <v>2012</v>
      </c>
      <c r="G112" s="175" t="s">
        <v>90</v>
      </c>
      <c r="H112" s="41" t="s">
        <v>188</v>
      </c>
      <c r="I112" s="41" t="s">
        <v>91</v>
      </c>
      <c r="J112" s="41" t="s">
        <v>21</v>
      </c>
      <c r="K112" s="188">
        <v>600</v>
      </c>
      <c r="L112" s="184">
        <v>18</v>
      </c>
      <c r="M112" s="203" t="s">
        <v>18</v>
      </c>
      <c r="N112" s="41" t="s">
        <v>88</v>
      </c>
      <c r="O112" s="55">
        <v>42.5</v>
      </c>
      <c r="P112" s="184">
        <v>23.7</v>
      </c>
      <c r="Q112" s="55"/>
      <c r="R112" s="188"/>
    </row>
    <row r="113" spans="1:20" ht="14.25" customHeight="1">
      <c r="A113" s="41" t="s">
        <v>94</v>
      </c>
      <c r="B113" s="41" t="s">
        <v>89</v>
      </c>
      <c r="C113" s="54" t="s">
        <v>110</v>
      </c>
      <c r="D113" s="92">
        <v>-46.331370849190684</v>
      </c>
      <c r="E113" s="92">
        <v>-23.933737500000003</v>
      </c>
      <c r="F113" s="41">
        <v>2012</v>
      </c>
      <c r="G113" s="175" t="s">
        <v>90</v>
      </c>
      <c r="H113" s="41" t="s">
        <v>188</v>
      </c>
      <c r="I113" s="41" t="s">
        <v>91</v>
      </c>
      <c r="J113" s="41" t="s">
        <v>21</v>
      </c>
      <c r="K113" s="281">
        <v>750</v>
      </c>
      <c r="L113" s="184">
        <v>18</v>
      </c>
      <c r="M113" s="203" t="s">
        <v>18</v>
      </c>
      <c r="N113" s="41" t="s">
        <v>88</v>
      </c>
      <c r="O113" s="280">
        <v>28.3</v>
      </c>
      <c r="P113" s="184">
        <v>7.3</v>
      </c>
      <c r="Q113" s="55"/>
      <c r="R113" s="54"/>
    </row>
    <row r="114" spans="1:20" ht="14.25" customHeight="1">
      <c r="A114" s="41" t="s">
        <v>94</v>
      </c>
      <c r="B114" s="41" t="s">
        <v>89</v>
      </c>
      <c r="C114" s="149" t="s">
        <v>131</v>
      </c>
      <c r="D114" s="92">
        <v>-49.381347685025794</v>
      </c>
      <c r="E114" s="92">
        <v>-20.812636500000004</v>
      </c>
      <c r="F114" s="41">
        <v>2012</v>
      </c>
      <c r="G114" s="175" t="s">
        <v>90</v>
      </c>
      <c r="H114" s="41" t="s">
        <v>188</v>
      </c>
      <c r="I114" s="41" t="s">
        <v>91</v>
      </c>
      <c r="J114" s="41" t="s">
        <v>21</v>
      </c>
      <c r="K114" s="282">
        <v>600</v>
      </c>
      <c r="L114" s="184">
        <v>18</v>
      </c>
      <c r="M114" s="203" t="s">
        <v>18</v>
      </c>
      <c r="N114" s="41" t="s">
        <v>88</v>
      </c>
      <c r="O114" s="280">
        <v>51.775000000000006</v>
      </c>
      <c r="P114" s="184">
        <v>14.2</v>
      </c>
      <c r="Q114" s="55"/>
      <c r="R114" s="54"/>
    </row>
    <row r="115" spans="1:20" ht="14.25" customHeight="1">
      <c r="A115" s="41" t="s">
        <v>94</v>
      </c>
      <c r="B115" s="41" t="s">
        <v>89</v>
      </c>
      <c r="C115" s="54" t="s">
        <v>113</v>
      </c>
      <c r="D115" s="96">
        <v>-36.551091902005247</v>
      </c>
      <c r="E115" s="96">
        <v>-9.9316573889236714</v>
      </c>
      <c r="F115" s="41">
        <v>2012</v>
      </c>
      <c r="G115" s="175" t="s">
        <v>90</v>
      </c>
      <c r="H115" s="41" t="s">
        <v>188</v>
      </c>
      <c r="I115" s="41" t="s">
        <v>91</v>
      </c>
      <c r="J115" s="41" t="s">
        <v>21</v>
      </c>
      <c r="K115" s="54">
        <v>600</v>
      </c>
      <c r="L115" s="184">
        <v>18</v>
      </c>
      <c r="M115" s="203" t="s">
        <v>18</v>
      </c>
      <c r="N115" s="41" t="s">
        <v>88</v>
      </c>
      <c r="O115" s="55">
        <v>39.674999999999997</v>
      </c>
      <c r="P115" s="147">
        <v>18.399999999999999</v>
      </c>
      <c r="Q115" s="55"/>
      <c r="R115" s="188"/>
    </row>
    <row r="116" spans="1:20" ht="14.25" customHeight="1">
      <c r="A116" s="41" t="s">
        <v>94</v>
      </c>
      <c r="B116" s="41" t="s">
        <v>89</v>
      </c>
      <c r="C116" s="54" t="s">
        <v>165</v>
      </c>
      <c r="D116" s="92">
        <v>-59.594559019496884</v>
      </c>
      <c r="E116" s="92">
        <v>-4.390619891472725</v>
      </c>
      <c r="F116" s="41">
        <v>2012</v>
      </c>
      <c r="G116" s="175" t="s">
        <v>90</v>
      </c>
      <c r="H116" s="41" t="s">
        <v>188</v>
      </c>
      <c r="I116" s="41" t="s">
        <v>91</v>
      </c>
      <c r="J116" s="41" t="s">
        <v>21</v>
      </c>
      <c r="K116" s="188">
        <v>750</v>
      </c>
      <c r="L116" s="184">
        <v>18</v>
      </c>
      <c r="M116" s="203" t="s">
        <v>18</v>
      </c>
      <c r="N116" s="41" t="s">
        <v>88</v>
      </c>
      <c r="O116" s="55">
        <v>52.88000000000001</v>
      </c>
      <c r="P116" s="147">
        <v>25.364581605064959</v>
      </c>
      <c r="Q116" s="55"/>
      <c r="R116" s="188"/>
    </row>
    <row r="117" spans="1:20" ht="14.25" customHeight="1">
      <c r="A117" s="41" t="s">
        <v>94</v>
      </c>
      <c r="B117" s="41" t="s">
        <v>89</v>
      </c>
      <c r="C117" s="54" t="s">
        <v>119</v>
      </c>
      <c r="D117" s="92">
        <v>-60.023335181061036</v>
      </c>
      <c r="E117" s="92">
        <v>-3.1346914912019459</v>
      </c>
      <c r="F117" s="41">
        <v>2012</v>
      </c>
      <c r="G117" s="175" t="s">
        <v>90</v>
      </c>
      <c r="H117" s="41" t="s">
        <v>188</v>
      </c>
      <c r="I117" s="41" t="s">
        <v>91</v>
      </c>
      <c r="J117" s="41" t="s">
        <v>21</v>
      </c>
      <c r="K117" s="188">
        <v>600</v>
      </c>
      <c r="L117" s="184">
        <v>18</v>
      </c>
      <c r="M117" s="203" t="s">
        <v>18</v>
      </c>
      <c r="N117" s="41" t="s">
        <v>88</v>
      </c>
      <c r="O117" s="55">
        <v>65.174999999999997</v>
      </c>
      <c r="P117" s="147">
        <v>12.057743017110115</v>
      </c>
      <c r="Q117" s="55"/>
      <c r="R117" s="188"/>
    </row>
    <row r="118" spans="1:20" ht="14.25" customHeight="1">
      <c r="A118" s="41" t="s">
        <v>94</v>
      </c>
      <c r="B118" s="41" t="s">
        <v>89</v>
      </c>
      <c r="C118" s="54" t="s">
        <v>166</v>
      </c>
      <c r="D118" s="92">
        <v>-45.004168437028525</v>
      </c>
      <c r="E118" s="92">
        <v>-12.144924888390602</v>
      </c>
      <c r="F118" s="41">
        <v>2012</v>
      </c>
      <c r="G118" s="175" t="s">
        <v>90</v>
      </c>
      <c r="H118" s="41" t="s">
        <v>188</v>
      </c>
      <c r="I118" s="41" t="s">
        <v>91</v>
      </c>
      <c r="J118" s="41" t="s">
        <v>21</v>
      </c>
      <c r="K118" s="188">
        <v>750</v>
      </c>
      <c r="L118" s="184">
        <v>18</v>
      </c>
      <c r="M118" s="203" t="s">
        <v>18</v>
      </c>
      <c r="N118" s="41" t="s">
        <v>88</v>
      </c>
      <c r="O118" s="55">
        <v>86.36</v>
      </c>
      <c r="P118" s="147">
        <v>9.724368017168695</v>
      </c>
      <c r="Q118" s="55"/>
      <c r="R118" s="188"/>
    </row>
    <row r="119" spans="1:20" ht="14.25" customHeight="1">
      <c r="A119" s="41" t="s">
        <v>94</v>
      </c>
      <c r="B119" s="41" t="s">
        <v>89</v>
      </c>
      <c r="C119" s="54" t="s">
        <v>163</v>
      </c>
      <c r="D119" s="92">
        <v>-39.584171940986373</v>
      </c>
      <c r="E119" s="92">
        <v>-16.375167232256405</v>
      </c>
      <c r="F119" s="41">
        <v>2012</v>
      </c>
      <c r="G119" s="175" t="s">
        <v>90</v>
      </c>
      <c r="H119" s="41" t="s">
        <v>188</v>
      </c>
      <c r="I119" s="41" t="s">
        <v>91</v>
      </c>
      <c r="J119" s="41" t="s">
        <v>21</v>
      </c>
      <c r="K119" s="188">
        <v>600</v>
      </c>
      <c r="L119" s="184">
        <v>18</v>
      </c>
      <c r="M119" s="203" t="s">
        <v>18</v>
      </c>
      <c r="N119" s="41" t="s">
        <v>88</v>
      </c>
      <c r="O119" s="55">
        <v>76.650000000000006</v>
      </c>
      <c r="P119" s="147">
        <v>12.288883865781564</v>
      </c>
      <c r="Q119" s="55"/>
      <c r="R119" s="188"/>
    </row>
    <row r="120" spans="1:20" ht="14.25" customHeight="1">
      <c r="A120" s="41" t="s">
        <v>94</v>
      </c>
      <c r="B120" s="41" t="s">
        <v>89</v>
      </c>
      <c r="C120" s="54" t="s">
        <v>167</v>
      </c>
      <c r="D120" s="92">
        <v>-43.218696264965466</v>
      </c>
      <c r="E120" s="92">
        <v>-12.184013569044852</v>
      </c>
      <c r="F120" s="41">
        <v>2012</v>
      </c>
      <c r="G120" s="175" t="s">
        <v>90</v>
      </c>
      <c r="H120" s="41" t="s">
        <v>188</v>
      </c>
      <c r="I120" s="41" t="s">
        <v>91</v>
      </c>
      <c r="J120" s="41" t="s">
        <v>21</v>
      </c>
      <c r="K120" s="188">
        <v>600</v>
      </c>
      <c r="L120" s="184">
        <v>18</v>
      </c>
      <c r="M120" s="203" t="s">
        <v>18</v>
      </c>
      <c r="N120" s="41" t="s">
        <v>88</v>
      </c>
      <c r="O120" s="55">
        <v>74.100000000000009</v>
      </c>
      <c r="P120" s="147">
        <v>8.260347046785224</v>
      </c>
      <c r="Q120" s="55"/>
      <c r="R120" s="188"/>
    </row>
    <row r="121" spans="1:20" ht="14.25" customHeight="1">
      <c r="A121" s="41" t="s">
        <v>94</v>
      </c>
      <c r="B121" s="41" t="s">
        <v>89</v>
      </c>
      <c r="C121" s="54" t="s">
        <v>168</v>
      </c>
      <c r="D121" s="92">
        <v>-40.088607327476304</v>
      </c>
      <c r="E121" s="92">
        <v>-13.855664007664052</v>
      </c>
      <c r="F121" s="41">
        <v>2012</v>
      </c>
      <c r="G121" s="175" t="s">
        <v>90</v>
      </c>
      <c r="H121" s="41" t="s">
        <v>188</v>
      </c>
      <c r="I121" s="41" t="s">
        <v>91</v>
      </c>
      <c r="J121" s="41" t="s">
        <v>21</v>
      </c>
      <c r="K121" s="188">
        <v>600</v>
      </c>
      <c r="L121" s="184">
        <v>18</v>
      </c>
      <c r="M121" s="203" t="s">
        <v>18</v>
      </c>
      <c r="N121" s="41" t="s">
        <v>88</v>
      </c>
      <c r="O121" s="55">
        <v>46.075000000000003</v>
      </c>
      <c r="P121" s="147">
        <v>8.1508179548639781</v>
      </c>
      <c r="Q121" s="55"/>
      <c r="R121" s="188"/>
    </row>
    <row r="122" spans="1:20" ht="14.25" customHeight="1">
      <c r="A122" s="41" t="s">
        <v>94</v>
      </c>
      <c r="B122" s="41" t="s">
        <v>89</v>
      </c>
      <c r="C122" s="54" t="s">
        <v>164</v>
      </c>
      <c r="D122" s="92">
        <v>-38.21832896822621</v>
      </c>
      <c r="E122" s="92">
        <v>-9.4033316973782313</v>
      </c>
      <c r="F122" s="41">
        <v>2012</v>
      </c>
      <c r="G122" s="175" t="s">
        <v>90</v>
      </c>
      <c r="H122" s="41" t="s">
        <v>188</v>
      </c>
      <c r="I122" s="41" t="s">
        <v>91</v>
      </c>
      <c r="J122" s="41" t="s">
        <v>21</v>
      </c>
      <c r="K122" s="188">
        <v>750</v>
      </c>
      <c r="L122" s="184">
        <v>18</v>
      </c>
      <c r="M122" s="203" t="s">
        <v>18</v>
      </c>
      <c r="N122" s="41" t="s">
        <v>88</v>
      </c>
      <c r="O122" s="55">
        <v>84.86</v>
      </c>
      <c r="P122" s="147">
        <v>8.3843902580927132</v>
      </c>
      <c r="Q122" s="55"/>
      <c r="R122" s="188"/>
    </row>
    <row r="123" spans="1:20" ht="14.25" customHeight="1">
      <c r="A123" s="41" t="s">
        <v>94</v>
      </c>
      <c r="B123" s="41" t="s">
        <v>89</v>
      </c>
      <c r="C123" s="54" t="s">
        <v>169</v>
      </c>
      <c r="D123" s="92">
        <v>-35.50134323404064</v>
      </c>
      <c r="E123" s="92">
        <v>-6.2770915257477062</v>
      </c>
      <c r="F123" s="41">
        <v>2012</v>
      </c>
      <c r="G123" s="175" t="s">
        <v>90</v>
      </c>
      <c r="H123" s="41" t="s">
        <v>188</v>
      </c>
      <c r="I123" s="41" t="s">
        <v>91</v>
      </c>
      <c r="J123" s="41" t="s">
        <v>21</v>
      </c>
      <c r="K123" s="188">
        <v>600</v>
      </c>
      <c r="L123" s="184">
        <v>18</v>
      </c>
      <c r="M123" s="203" t="s">
        <v>18</v>
      </c>
      <c r="N123" s="41" t="s">
        <v>88</v>
      </c>
      <c r="O123" s="55">
        <v>53.524999999999999</v>
      </c>
      <c r="P123" s="147">
        <v>19.109399955693704</v>
      </c>
      <c r="Q123" s="55"/>
      <c r="R123" s="54"/>
    </row>
    <row r="124" spans="1:20" ht="14.25" customHeight="1">
      <c r="A124" s="41" t="s">
        <v>94</v>
      </c>
      <c r="B124" s="41" t="s">
        <v>89</v>
      </c>
      <c r="C124" s="54" t="s">
        <v>141</v>
      </c>
      <c r="D124" s="92">
        <v>-47.887905478031342</v>
      </c>
      <c r="E124" s="92">
        <v>-15.794087361891002</v>
      </c>
      <c r="F124" s="41">
        <v>2012</v>
      </c>
      <c r="G124" s="175" t="s">
        <v>90</v>
      </c>
      <c r="H124" s="41" t="s">
        <v>188</v>
      </c>
      <c r="I124" s="41" t="s">
        <v>91</v>
      </c>
      <c r="J124" s="41" t="s">
        <v>21</v>
      </c>
      <c r="K124" s="54">
        <v>600</v>
      </c>
      <c r="L124" s="184">
        <v>18</v>
      </c>
      <c r="M124" s="203" t="s">
        <v>18</v>
      </c>
      <c r="N124" s="41" t="s">
        <v>88</v>
      </c>
      <c r="O124" s="55">
        <v>28.55</v>
      </c>
      <c r="P124" s="147">
        <v>15.175940388215373</v>
      </c>
      <c r="Q124" s="55"/>
      <c r="R124" s="54"/>
    </row>
    <row r="125" spans="1:20" ht="14.25" customHeight="1">
      <c r="A125" s="41" t="s">
        <v>94</v>
      </c>
      <c r="B125" s="41" t="s">
        <v>89</v>
      </c>
      <c r="C125" s="54" t="s">
        <v>170</v>
      </c>
      <c r="D125" s="92">
        <v>-57.648985457340132</v>
      </c>
      <c r="E125" s="92">
        <v>-19.006374654645803</v>
      </c>
      <c r="F125" s="41">
        <v>2012</v>
      </c>
      <c r="G125" s="175" t="s">
        <v>90</v>
      </c>
      <c r="H125" s="41" t="s">
        <v>188</v>
      </c>
      <c r="I125" s="41" t="s">
        <v>91</v>
      </c>
      <c r="J125" s="41" t="s">
        <v>21</v>
      </c>
      <c r="K125" s="54">
        <v>600</v>
      </c>
      <c r="L125" s="184">
        <v>18</v>
      </c>
      <c r="M125" s="203" t="s">
        <v>18</v>
      </c>
      <c r="N125" s="41" t="s">
        <v>88</v>
      </c>
      <c r="O125" s="55">
        <v>10.95</v>
      </c>
      <c r="P125" s="147">
        <v>6.8</v>
      </c>
      <c r="Q125" s="55"/>
      <c r="R125" s="54"/>
    </row>
    <row r="126" spans="1:20" ht="14.25" customHeight="1" thickBot="1">
      <c r="A126" s="167" t="s">
        <v>94</v>
      </c>
      <c r="B126" s="167" t="s">
        <v>89</v>
      </c>
      <c r="C126" s="191" t="s">
        <v>120</v>
      </c>
      <c r="D126" s="93">
        <v>-42.805270458223347</v>
      </c>
      <c r="E126" s="93">
        <v>-5.0863419523217006</v>
      </c>
      <c r="F126" s="167">
        <v>2012</v>
      </c>
      <c r="G126" s="176" t="s">
        <v>90</v>
      </c>
      <c r="H126" s="167" t="s">
        <v>188</v>
      </c>
      <c r="I126" s="167" t="s">
        <v>91</v>
      </c>
      <c r="J126" s="167" t="s">
        <v>21</v>
      </c>
      <c r="K126" s="191">
        <v>750</v>
      </c>
      <c r="L126" s="186">
        <v>18</v>
      </c>
      <c r="M126" s="204" t="s">
        <v>18</v>
      </c>
      <c r="N126" s="167" t="s">
        <v>88</v>
      </c>
      <c r="O126" s="193">
        <v>77.180000000000007</v>
      </c>
      <c r="P126" s="177">
        <v>13.075626180034318</v>
      </c>
    </row>
    <row r="127" spans="1:20" ht="14.25" customHeight="1">
      <c r="H127" s="41"/>
    </row>
    <row r="128" spans="1:20" ht="14.25" customHeight="1">
      <c r="P128" s="41"/>
      <c r="T128" s="202"/>
    </row>
    <row r="129" spans="3:20" ht="14.25" customHeight="1">
      <c r="C129" s="216"/>
      <c r="D129" s="216"/>
      <c r="E129" s="216"/>
      <c r="P129" s="41"/>
      <c r="T129" s="202"/>
    </row>
    <row r="130" spans="3:20" ht="14.25" customHeight="1">
      <c r="C130" s="216"/>
      <c r="D130" s="216"/>
      <c r="E130" s="216"/>
      <c r="P130" s="41"/>
      <c r="T130" s="202"/>
    </row>
    <row r="131" spans="3:20" ht="14.25" customHeight="1">
      <c r="C131" s="216"/>
      <c r="D131" s="216"/>
      <c r="E131" s="216"/>
      <c r="P131" s="41"/>
      <c r="T131" s="202"/>
    </row>
    <row r="132" spans="3:20" ht="14.25" customHeight="1">
      <c r="C132" s="216"/>
      <c r="D132" s="216"/>
      <c r="E132" s="216"/>
      <c r="P132" s="41"/>
      <c r="T132" s="202"/>
    </row>
    <row r="133" spans="3:20" ht="14.25" customHeight="1">
      <c r="C133" s="216"/>
      <c r="D133" s="216"/>
      <c r="E133" s="216"/>
      <c r="P133" s="41"/>
      <c r="T133" s="202"/>
    </row>
    <row r="134" spans="3:20" ht="14.25" customHeight="1">
      <c r="C134" s="216"/>
      <c r="D134" s="216"/>
      <c r="E134" s="216"/>
      <c r="P134" s="41"/>
      <c r="T134" s="202"/>
    </row>
    <row r="135" spans="3:20" ht="14.25" customHeight="1">
      <c r="C135" s="216"/>
      <c r="D135" s="216"/>
      <c r="E135" s="216"/>
      <c r="P135" s="41"/>
      <c r="T135" s="202"/>
    </row>
    <row r="136" spans="3:20" ht="14.25" customHeight="1">
      <c r="C136" s="216"/>
      <c r="D136" s="216"/>
      <c r="E136" s="216"/>
      <c r="P136" s="41"/>
      <c r="T136" s="202"/>
    </row>
    <row r="137" spans="3:20" ht="14.25" customHeight="1">
      <c r="C137" s="216"/>
      <c r="D137" s="216"/>
      <c r="E137" s="216"/>
      <c r="P137" s="41"/>
      <c r="T137" s="202"/>
    </row>
    <row r="138" spans="3:20" ht="14.25" customHeight="1">
      <c r="C138" s="216"/>
      <c r="D138" s="216"/>
      <c r="E138" s="216"/>
      <c r="P138" s="41"/>
      <c r="T138" s="202"/>
    </row>
    <row r="139" spans="3:20" ht="14.25" customHeight="1">
      <c r="C139" s="216"/>
      <c r="D139" s="216"/>
      <c r="E139" s="216"/>
      <c r="P139" s="41"/>
      <c r="T139" s="202"/>
    </row>
    <row r="140" spans="3:20" ht="14.25" customHeight="1">
      <c r="C140" s="216"/>
      <c r="D140" s="216"/>
      <c r="E140" s="216"/>
      <c r="P140" s="41"/>
      <c r="T140" s="202"/>
    </row>
    <row r="141" spans="3:20" ht="14.25" customHeight="1">
      <c r="C141" s="216"/>
      <c r="D141" s="216"/>
      <c r="E141" s="216"/>
      <c r="P141" s="41"/>
      <c r="T141" s="202"/>
    </row>
    <row r="142" spans="3:20" ht="14.25" customHeight="1">
      <c r="C142" s="216"/>
      <c r="D142" s="216"/>
      <c r="E142" s="216"/>
      <c r="P142" s="41"/>
      <c r="T142" s="202"/>
    </row>
    <row r="143" spans="3:20" ht="14.25" customHeight="1">
      <c r="C143" s="216"/>
      <c r="D143" s="216"/>
      <c r="E143" s="216"/>
      <c r="P143" s="41"/>
      <c r="T143" s="202"/>
    </row>
    <row r="144" spans="3:20" ht="14.25" customHeight="1">
      <c r="C144" s="216"/>
      <c r="D144" s="216"/>
      <c r="E144" s="216"/>
      <c r="P144" s="41"/>
      <c r="T144" s="202"/>
    </row>
    <row r="145" spans="3:20" ht="14.25" customHeight="1">
      <c r="C145" s="216"/>
      <c r="D145" s="216"/>
      <c r="E145" s="216"/>
      <c r="P145" s="41"/>
      <c r="T145" s="202"/>
    </row>
    <row r="146" spans="3:20" ht="14.25" customHeight="1">
      <c r="C146" s="216"/>
      <c r="D146" s="216"/>
      <c r="E146" s="216"/>
      <c r="P146" s="41"/>
      <c r="T146" s="202"/>
    </row>
    <row r="147" spans="3:20" ht="14.25" customHeight="1">
      <c r="C147" s="216"/>
      <c r="P147" s="41"/>
      <c r="T147" s="202"/>
    </row>
    <row r="148" spans="3:20" ht="14.25" customHeight="1">
      <c r="C148" s="216"/>
      <c r="P148" s="41"/>
      <c r="T148" s="202"/>
    </row>
    <row r="149" spans="3:20" ht="14.25" customHeight="1">
      <c r="C149" s="216"/>
      <c r="P149" s="41"/>
      <c r="T149" s="202"/>
    </row>
    <row r="150" spans="3:20" ht="14.25" customHeight="1">
      <c r="C150" s="216"/>
      <c r="P150" s="41"/>
      <c r="T150" s="202"/>
    </row>
    <row r="151" spans="3:20" ht="14.25" customHeight="1">
      <c r="C151" s="216"/>
      <c r="P151" s="41"/>
      <c r="T151" s="202"/>
    </row>
    <row r="152" spans="3:20" ht="14.25" customHeight="1">
      <c r="C152" s="216"/>
      <c r="Q152" s="41"/>
      <c r="T152" s="202"/>
    </row>
    <row r="153" spans="3:20" ht="14.25" customHeight="1">
      <c r="C153" s="216"/>
      <c r="Q153" s="41"/>
      <c r="T153" s="202"/>
    </row>
    <row r="154" spans="3:20" ht="14.25" customHeight="1">
      <c r="C154" s="216"/>
      <c r="Q154" s="41"/>
      <c r="T154" s="202"/>
    </row>
    <row r="155" spans="3:20" ht="14.25" customHeight="1">
      <c r="C155" s="216"/>
      <c r="R155" s="41"/>
      <c r="T155" s="202"/>
    </row>
    <row r="156" spans="3:20" ht="14.25" customHeight="1">
      <c r="C156" s="216"/>
      <c r="R156" s="41"/>
      <c r="T156" s="202"/>
    </row>
    <row r="157" spans="3:20" ht="14.25" customHeight="1">
      <c r="C157" s="216"/>
      <c r="R157" s="41"/>
      <c r="T157" s="202"/>
    </row>
    <row r="158" spans="3:20" ht="14.25" customHeight="1">
      <c r="C158" s="216"/>
      <c r="R158" s="41"/>
      <c r="T158" s="202"/>
    </row>
    <row r="159" spans="3:20" ht="14.25" customHeight="1">
      <c r="C159" s="216"/>
      <c r="R159" s="41"/>
      <c r="T159" s="202"/>
    </row>
    <row r="160" spans="3:20" ht="14.25" customHeight="1">
      <c r="R160" s="41"/>
      <c r="T160" s="202"/>
    </row>
    <row r="161" spans="18:20" ht="14.25" customHeight="1">
      <c r="R161" s="41"/>
      <c r="T161" s="202"/>
    </row>
    <row r="162" spans="18:20" ht="14.25" customHeight="1">
      <c r="R162" s="41"/>
      <c r="T162" s="202"/>
    </row>
    <row r="163" spans="18:20" ht="14.25" customHeight="1">
      <c r="R163" s="41"/>
      <c r="T163" s="202"/>
    </row>
    <row r="164" spans="18:20" ht="14.25" customHeight="1">
      <c r="R164" s="41"/>
      <c r="T164" s="202"/>
    </row>
    <row r="165" spans="18:20" ht="14.25" customHeight="1">
      <c r="R165" s="41"/>
      <c r="T165" s="202"/>
    </row>
    <row r="166" spans="18:20" ht="14.25" customHeight="1">
      <c r="R166" s="41"/>
      <c r="T166" s="202"/>
    </row>
    <row r="167" spans="18:20" ht="14.25" customHeight="1">
      <c r="R167" s="41"/>
      <c r="T167" s="202"/>
    </row>
    <row r="168" spans="18:20" ht="14.25" customHeight="1">
      <c r="R168" s="41"/>
      <c r="T168" s="202"/>
    </row>
    <row r="169" spans="18:20" ht="14.25" customHeight="1">
      <c r="R169" s="41"/>
      <c r="T169" s="202"/>
    </row>
    <row r="170" spans="18:20" ht="14.25" customHeight="1">
      <c r="R170" s="41"/>
      <c r="T170" s="202"/>
    </row>
    <row r="171" spans="18:20" ht="14.25" customHeight="1">
      <c r="R171" s="41"/>
      <c r="T171" s="202"/>
    </row>
    <row r="172" spans="18:20" ht="14.25" customHeight="1">
      <c r="R172" s="41"/>
      <c r="T172" s="202"/>
    </row>
    <row r="173" spans="18:20" ht="14.25" customHeight="1">
      <c r="R173" s="41"/>
      <c r="T173" s="202"/>
    </row>
    <row r="174" spans="18:20" ht="14.25" customHeight="1">
      <c r="R174" s="41"/>
      <c r="T174" s="202"/>
    </row>
    <row r="175" spans="18:20" ht="14.25" customHeight="1">
      <c r="R175" s="41"/>
      <c r="T175" s="202"/>
    </row>
    <row r="176" spans="18:20" ht="14.25" customHeight="1">
      <c r="R176" s="41"/>
      <c r="T176" s="202"/>
    </row>
    <row r="177" spans="18:20" ht="14.25" customHeight="1">
      <c r="R177" s="41"/>
      <c r="T177" s="202"/>
    </row>
    <row r="178" spans="18:20" ht="14.25" customHeight="1">
      <c r="R178" s="41"/>
      <c r="T178" s="202"/>
    </row>
    <row r="179" spans="18:20" ht="14.25" customHeight="1">
      <c r="R179" s="41"/>
      <c r="T179" s="202"/>
    </row>
    <row r="180" spans="18:20" ht="14.25" customHeight="1">
      <c r="R180" s="41"/>
      <c r="T180" s="202"/>
    </row>
    <row r="181" spans="18:20" ht="14.25" customHeight="1">
      <c r="R181" s="41"/>
      <c r="T181" s="202"/>
    </row>
    <row r="182" spans="18:20" ht="14.25" customHeight="1">
      <c r="R182" s="41"/>
      <c r="T182" s="202"/>
    </row>
    <row r="183" spans="18:20" ht="14.25" customHeight="1">
      <c r="R183" s="41"/>
      <c r="T183" s="202"/>
    </row>
    <row r="184" spans="18:20" ht="14.25" customHeight="1">
      <c r="S184" s="41"/>
      <c r="T184" s="202"/>
    </row>
    <row r="185" spans="18:20" ht="14.25" customHeight="1">
      <c r="S185" s="41"/>
      <c r="T185" s="202"/>
    </row>
    <row r="186" spans="18:20" ht="14.25" customHeight="1">
      <c r="S186" s="41"/>
      <c r="T186" s="202"/>
    </row>
    <row r="187" spans="18:20" ht="14.25" customHeight="1">
      <c r="S187" s="41"/>
      <c r="T187" s="202"/>
    </row>
    <row r="188" spans="18:20" ht="14.25" customHeight="1">
      <c r="S188" s="41"/>
      <c r="T188" s="202"/>
    </row>
    <row r="189" spans="18:20" ht="14.25" customHeight="1">
      <c r="S189" s="41"/>
      <c r="T189" s="202"/>
    </row>
    <row r="190" spans="18:20" ht="14.25" customHeight="1">
      <c r="S190" s="41"/>
      <c r="T190" s="202"/>
    </row>
    <row r="191" spans="18:20" ht="14.25" customHeight="1">
      <c r="S191" s="41"/>
      <c r="T191" s="202"/>
    </row>
    <row r="192" spans="18:20" ht="14.25" customHeight="1">
      <c r="S192" s="41"/>
      <c r="T192" s="202"/>
    </row>
    <row r="193" spans="19:20" ht="14.25" customHeight="1">
      <c r="S193" s="41"/>
      <c r="T193" s="202"/>
    </row>
    <row r="194" spans="19:20" ht="14.25" customHeight="1">
      <c r="S194" s="41"/>
      <c r="T194" s="202"/>
    </row>
    <row r="195" spans="19:20" ht="14.25" customHeight="1">
      <c r="S195" s="41"/>
      <c r="T195" s="202"/>
    </row>
    <row r="196" spans="19:20" ht="14.25" customHeight="1">
      <c r="S196" s="41"/>
      <c r="T196" s="202"/>
    </row>
    <row r="197" spans="19:20" ht="14.25" customHeight="1">
      <c r="S197" s="41"/>
      <c r="T197" s="202"/>
    </row>
    <row r="198" spans="19:20" ht="14.25" customHeight="1">
      <c r="S198" s="41"/>
      <c r="T198" s="202"/>
    </row>
    <row r="199" spans="19:20" ht="14.25" customHeight="1">
      <c r="S199" s="41"/>
      <c r="T199" s="202"/>
    </row>
    <row r="200" spans="19:20" ht="14.25" customHeight="1">
      <c r="S200" s="41"/>
      <c r="T200" s="202"/>
    </row>
    <row r="201" spans="19:20" ht="14.25" customHeight="1">
      <c r="S201" s="41"/>
      <c r="T201" s="202"/>
    </row>
    <row r="202" spans="19:20" ht="14.25" customHeight="1">
      <c r="S202" s="41"/>
      <c r="T202" s="202"/>
    </row>
    <row r="203" spans="19:20" ht="14.25" customHeight="1">
      <c r="S203" s="41"/>
      <c r="T203" s="202"/>
    </row>
    <row r="204" spans="19:20" ht="14.25" customHeight="1">
      <c r="S204" s="41"/>
      <c r="T204" s="202"/>
    </row>
    <row r="205" spans="19:20" ht="14.25" customHeight="1">
      <c r="S205" s="41"/>
      <c r="T205" s="202"/>
    </row>
  </sheetData>
  <phoneticPr fontId="48" type="noConversion"/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77"/>
  <sheetViews>
    <sheetView topLeftCell="C67" workbookViewId="0">
      <selection activeCell="K78" sqref="K78"/>
    </sheetView>
  </sheetViews>
  <sheetFormatPr baseColWidth="10" defaultColWidth="8.83203125" defaultRowHeight="14.25" customHeight="1"/>
  <cols>
    <col min="1" max="1" width="17.83203125" style="158" bestFit="1" customWidth="1"/>
    <col min="2" max="2" width="7" style="27" bestFit="1" customWidth="1"/>
    <col min="3" max="3" width="20" style="27" bestFit="1" customWidth="1"/>
    <col min="4" max="4" width="19.1640625" style="27" customWidth="1"/>
    <col min="5" max="5" width="15.33203125" style="27" customWidth="1"/>
    <col min="6" max="7" width="12.6640625" style="27" customWidth="1"/>
    <col min="8" max="8" width="15.5" style="27" customWidth="1"/>
    <col min="9" max="9" width="17.5" style="27" customWidth="1"/>
    <col min="10" max="10" width="13.83203125" style="27" bestFit="1" customWidth="1"/>
    <col min="11" max="11" width="12.6640625" style="27" customWidth="1"/>
    <col min="12" max="12" width="12" style="27" customWidth="1"/>
    <col min="13" max="13" width="9.33203125" style="27" bestFit="1" customWidth="1"/>
    <col min="14" max="14" width="7.6640625" style="27" bestFit="1" customWidth="1"/>
    <col min="15" max="15" width="14.1640625" style="27" customWidth="1"/>
    <col min="16" max="16" width="14.5" style="27" bestFit="1" customWidth="1"/>
    <col min="17" max="17" width="7.1640625" style="27" customWidth="1"/>
    <col min="18" max="18" width="8.1640625" style="27" customWidth="1"/>
    <col min="19" max="19" width="7.5" style="27" bestFit="1" customWidth="1"/>
    <col min="20" max="20" width="8.83203125" style="27"/>
    <col min="21" max="16384" width="8.83203125" style="255"/>
  </cols>
  <sheetData>
    <row r="1" spans="1:19" ht="14.25" customHeight="1" thickBot="1">
      <c r="A1" s="11" t="s">
        <v>69</v>
      </c>
      <c r="B1" s="158" t="s">
        <v>70</v>
      </c>
      <c r="C1" s="158" t="s">
        <v>71</v>
      </c>
      <c r="D1" s="90" t="s">
        <v>190</v>
      </c>
      <c r="E1" s="158" t="s">
        <v>24</v>
      </c>
      <c r="F1" s="158" t="s">
        <v>72</v>
      </c>
      <c r="G1" s="158" t="s">
        <v>73</v>
      </c>
      <c r="H1" s="11" t="s">
        <v>74</v>
      </c>
      <c r="I1" s="158" t="s">
        <v>75</v>
      </c>
      <c r="J1" s="158" t="s">
        <v>76</v>
      </c>
      <c r="K1" s="158" t="s">
        <v>77</v>
      </c>
      <c r="L1" s="158" t="s">
        <v>78</v>
      </c>
      <c r="M1" s="158" t="s">
        <v>79</v>
      </c>
      <c r="N1" s="158" t="s">
        <v>82</v>
      </c>
      <c r="O1" s="158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19" ht="14.25" customHeight="1">
      <c r="A2" s="158" t="s">
        <v>94</v>
      </c>
      <c r="B2" s="34" t="s">
        <v>89</v>
      </c>
      <c r="C2" s="123" t="s">
        <v>124</v>
      </c>
      <c r="D2" s="261"/>
      <c r="E2" s="262"/>
      <c r="F2" s="34">
        <v>2013</v>
      </c>
      <c r="G2" s="99" t="s">
        <v>90</v>
      </c>
      <c r="H2" s="27" t="s">
        <v>177</v>
      </c>
      <c r="I2" s="34" t="s">
        <v>91</v>
      </c>
      <c r="J2" s="34" t="s">
        <v>81</v>
      </c>
      <c r="K2" s="34">
        <v>1200</v>
      </c>
      <c r="L2" s="34">
        <v>1.2E-2</v>
      </c>
      <c r="M2" s="34" t="s">
        <v>80</v>
      </c>
      <c r="N2" s="34" t="s">
        <v>88</v>
      </c>
      <c r="O2" s="34">
        <v>100</v>
      </c>
      <c r="P2" s="3">
        <v>2.0000000000000052E-4</v>
      </c>
      <c r="Q2" s="4">
        <v>3.5000000000000001E-3</v>
      </c>
      <c r="R2" s="4">
        <v>5.1999999999999998E-3</v>
      </c>
      <c r="S2" s="4">
        <v>6.1000000000000004E-3</v>
      </c>
    </row>
    <row r="3" spans="1:19" ht="14.25" customHeight="1">
      <c r="A3" s="158" t="s">
        <v>94</v>
      </c>
      <c r="B3" s="158" t="s">
        <v>89</v>
      </c>
      <c r="C3" s="158" t="s">
        <v>100</v>
      </c>
      <c r="D3" s="155">
        <v>-50.439226072752582</v>
      </c>
      <c r="E3" s="155">
        <v>-21.205476000000004</v>
      </c>
      <c r="F3" s="158">
        <v>2013</v>
      </c>
      <c r="G3" s="83" t="s">
        <v>90</v>
      </c>
      <c r="H3" s="27" t="s">
        <v>177</v>
      </c>
      <c r="I3" s="158" t="s">
        <v>91</v>
      </c>
      <c r="J3" s="158" t="s">
        <v>81</v>
      </c>
      <c r="K3" s="37">
        <v>1200</v>
      </c>
      <c r="L3" s="158">
        <v>1.2E-2</v>
      </c>
      <c r="M3" s="158" t="s">
        <v>80</v>
      </c>
      <c r="N3" s="158" t="s">
        <v>88</v>
      </c>
      <c r="O3" s="10">
        <f>(46.4+27.1+43.2+55.1)/4</f>
        <v>42.95</v>
      </c>
      <c r="P3" s="3">
        <v>1.0000000000000009E-3</v>
      </c>
      <c r="Q3" s="3">
        <v>1.2999999999999999E-2</v>
      </c>
      <c r="R3" s="3">
        <v>2.4E-2</v>
      </c>
      <c r="S3" s="3">
        <v>3.1E-2</v>
      </c>
    </row>
    <row r="4" spans="1:19" ht="14.25" customHeight="1">
      <c r="A4" s="158" t="s">
        <v>94</v>
      </c>
      <c r="B4" s="158" t="s">
        <v>89</v>
      </c>
      <c r="C4" s="158" t="s">
        <v>102</v>
      </c>
      <c r="D4" s="155">
        <v>-49.083000867090362</v>
      </c>
      <c r="E4" s="155">
        <v>-22.325122500000006</v>
      </c>
      <c r="F4" s="158">
        <v>2013</v>
      </c>
      <c r="G4" s="83" t="s">
        <v>90</v>
      </c>
      <c r="H4" s="27" t="s">
        <v>177</v>
      </c>
      <c r="I4" s="158" t="s">
        <v>91</v>
      </c>
      <c r="J4" s="158" t="s">
        <v>81</v>
      </c>
      <c r="K4" s="37">
        <v>300</v>
      </c>
      <c r="L4" s="158">
        <v>1.2E-2</v>
      </c>
      <c r="M4" s="158" t="s">
        <v>80</v>
      </c>
      <c r="N4" s="158" t="s">
        <v>88</v>
      </c>
      <c r="O4" s="10">
        <v>53.8</v>
      </c>
      <c r="P4" s="3">
        <v>1.9999999999999983E-3</v>
      </c>
      <c r="Q4" s="3">
        <v>1.2E-2</v>
      </c>
      <c r="R4" s="3">
        <v>2.5999999999999999E-2</v>
      </c>
      <c r="S4" s="3">
        <v>3.5999999999999997E-2</v>
      </c>
    </row>
    <row r="5" spans="1:19" ht="14.25" customHeight="1">
      <c r="A5" s="158" t="s">
        <v>94</v>
      </c>
      <c r="B5" s="158" t="s">
        <v>89</v>
      </c>
      <c r="C5" s="158" t="s">
        <v>104</v>
      </c>
      <c r="D5" s="109">
        <v>-47.06015627297316</v>
      </c>
      <c r="E5" s="109">
        <v>-22.907342500000002</v>
      </c>
      <c r="F5" s="158">
        <v>2013</v>
      </c>
      <c r="G5" s="83" t="s">
        <v>90</v>
      </c>
      <c r="H5" s="27" t="s">
        <v>177</v>
      </c>
      <c r="I5" s="158" t="s">
        <v>91</v>
      </c>
      <c r="J5" s="158" t="s">
        <v>81</v>
      </c>
      <c r="K5" s="37">
        <v>1200</v>
      </c>
      <c r="L5" s="158">
        <v>1.2E-2</v>
      </c>
      <c r="M5" s="158" t="s">
        <v>80</v>
      </c>
      <c r="N5" s="158" t="s">
        <v>88</v>
      </c>
      <c r="O5" s="10">
        <v>78</v>
      </c>
      <c r="P5" s="3">
        <v>9.9999999999999742E-4</v>
      </c>
      <c r="Q5" s="39">
        <v>8.3999999999999995E-3</v>
      </c>
      <c r="R5" s="39">
        <v>1.7999999999999999E-2</v>
      </c>
      <c r="S5" s="39">
        <v>2.4E-2</v>
      </c>
    </row>
    <row r="6" spans="1:19" ht="14.25" customHeight="1">
      <c r="A6" s="158" t="s">
        <v>94</v>
      </c>
      <c r="B6" s="158" t="s">
        <v>89</v>
      </c>
      <c r="C6" s="158" t="s">
        <v>107</v>
      </c>
      <c r="D6" s="155">
        <v>-49.951645643103269</v>
      </c>
      <c r="E6" s="155">
        <v>-22.214933000000002</v>
      </c>
      <c r="F6" s="158">
        <v>2013</v>
      </c>
      <c r="G6" s="83" t="s">
        <v>90</v>
      </c>
      <c r="H6" s="158" t="s">
        <v>177</v>
      </c>
      <c r="I6" s="158" t="s">
        <v>91</v>
      </c>
      <c r="J6" s="158" t="s">
        <v>81</v>
      </c>
      <c r="K6" s="37">
        <v>600</v>
      </c>
      <c r="L6" s="158">
        <v>1.2E-2</v>
      </c>
      <c r="M6" s="158" t="s">
        <v>80</v>
      </c>
      <c r="N6" s="158" t="s">
        <v>88</v>
      </c>
      <c r="O6" s="10">
        <f>(82+73.8)/2</f>
        <v>77.900000000000006</v>
      </c>
      <c r="P6" s="3">
        <v>9.9999999999999742E-4</v>
      </c>
      <c r="Q6" s="39">
        <v>8.8000000000000005E-3</v>
      </c>
      <c r="R6" s="39">
        <v>1.7999999999999999E-2</v>
      </c>
      <c r="S6" s="39">
        <v>2.4E-2</v>
      </c>
    </row>
    <row r="7" spans="1:19" ht="14.25" customHeight="1">
      <c r="A7" s="158" t="s">
        <v>94</v>
      </c>
      <c r="B7" s="158" t="s">
        <v>89</v>
      </c>
      <c r="C7" s="158" t="s">
        <v>95</v>
      </c>
      <c r="D7" s="109">
        <v>-46.570383182112749</v>
      </c>
      <c r="E7" s="109">
        <v>-23.567386500000001</v>
      </c>
      <c r="F7" s="158">
        <v>2013</v>
      </c>
      <c r="G7" s="83" t="s">
        <v>90</v>
      </c>
      <c r="H7" s="158" t="s">
        <v>177</v>
      </c>
      <c r="I7" s="158" t="s">
        <v>91</v>
      </c>
      <c r="J7" s="158" t="s">
        <v>81</v>
      </c>
      <c r="K7" s="37">
        <v>1200</v>
      </c>
      <c r="L7" s="158">
        <v>1.2E-2</v>
      </c>
      <c r="M7" s="158" t="s">
        <v>80</v>
      </c>
      <c r="N7" s="158" t="s">
        <v>88</v>
      </c>
      <c r="O7" s="10">
        <f>(27.4+93+56.1+75)/4</f>
        <v>62.875</v>
      </c>
      <c r="P7" s="165">
        <v>1.0000000000000009E-3</v>
      </c>
      <c r="Q7" s="39">
        <v>9.9000000000000008E-3</v>
      </c>
      <c r="R7" s="39">
        <v>0.02</v>
      </c>
      <c r="S7" s="39">
        <v>2.7E-2</v>
      </c>
    </row>
    <row r="8" spans="1:19" ht="14.25" customHeight="1">
      <c r="A8" s="158" t="s">
        <v>94</v>
      </c>
      <c r="B8" s="158" t="s">
        <v>89</v>
      </c>
      <c r="C8" s="158" t="s">
        <v>108</v>
      </c>
      <c r="D8" s="155">
        <v>-51.386765581912492</v>
      </c>
      <c r="E8" s="155">
        <v>-22.122743500000002</v>
      </c>
      <c r="F8" s="158">
        <v>2013</v>
      </c>
      <c r="G8" s="83" t="s">
        <v>90</v>
      </c>
      <c r="H8" s="158" t="s">
        <v>177</v>
      </c>
      <c r="I8" s="158" t="s">
        <v>91</v>
      </c>
      <c r="J8" s="158" t="s">
        <v>81</v>
      </c>
      <c r="K8" s="37">
        <v>1200</v>
      </c>
      <c r="L8" s="158">
        <v>1.2E-2</v>
      </c>
      <c r="M8" s="158" t="s">
        <v>80</v>
      </c>
      <c r="N8" s="158" t="s">
        <v>88</v>
      </c>
      <c r="O8" s="10">
        <f>(63+49.4+72.5+50.8)/4</f>
        <v>58.924999999999997</v>
      </c>
      <c r="P8" s="3">
        <v>9.9999999999999742E-4</v>
      </c>
      <c r="Q8" s="39">
        <v>1.0999999999999999E-2</v>
      </c>
      <c r="R8" s="39">
        <v>2.1999999999999999E-2</v>
      </c>
      <c r="S8" s="39">
        <v>2.9000000000000001E-2</v>
      </c>
    </row>
    <row r="9" spans="1:19" ht="14.25" customHeight="1">
      <c r="A9" s="158" t="s">
        <v>94</v>
      </c>
      <c r="B9" s="158" t="s">
        <v>89</v>
      </c>
      <c r="C9" s="158" t="s">
        <v>109</v>
      </c>
      <c r="D9" s="155">
        <v>-47.805475915541528</v>
      </c>
      <c r="E9" s="155">
        <v>-21.184834500000004</v>
      </c>
      <c r="F9" s="158">
        <v>2013</v>
      </c>
      <c r="G9" s="83" t="s">
        <v>90</v>
      </c>
      <c r="H9" s="158" t="s">
        <v>177</v>
      </c>
      <c r="I9" s="158" t="s">
        <v>91</v>
      </c>
      <c r="J9" s="158" t="s">
        <v>81</v>
      </c>
      <c r="K9" s="37">
        <v>1500</v>
      </c>
      <c r="L9" s="158">
        <v>1.2E-2</v>
      </c>
      <c r="M9" s="158" t="s">
        <v>80</v>
      </c>
      <c r="N9" s="158" t="s">
        <v>88</v>
      </c>
      <c r="O9" s="10">
        <f>(50.8+38.3+29.1+51.6+45.6)/5</f>
        <v>43.08</v>
      </c>
      <c r="P9" s="165">
        <v>4.0000000000000001E-3</v>
      </c>
      <c r="Q9" s="39">
        <v>1.2999999999999999E-2</v>
      </c>
      <c r="R9" s="39">
        <v>2.5999999999999999E-2</v>
      </c>
      <c r="S9" s="39">
        <v>3.4000000000000002E-2</v>
      </c>
    </row>
    <row r="10" spans="1:19" ht="14.25" customHeight="1">
      <c r="A10" s="158" t="s">
        <v>94</v>
      </c>
      <c r="B10" s="158" t="s">
        <v>89</v>
      </c>
      <c r="C10" s="158" t="s">
        <v>110</v>
      </c>
      <c r="D10" s="155">
        <v>-46.331370849190684</v>
      </c>
      <c r="E10" s="155">
        <v>-23.933737500000003</v>
      </c>
      <c r="F10" s="158">
        <v>2013</v>
      </c>
      <c r="G10" s="83" t="s">
        <v>90</v>
      </c>
      <c r="H10" s="158" t="s">
        <v>177</v>
      </c>
      <c r="I10" s="158" t="s">
        <v>91</v>
      </c>
      <c r="J10" s="158" t="s">
        <v>81</v>
      </c>
      <c r="K10" s="37">
        <v>1200</v>
      </c>
      <c r="L10" s="158">
        <v>1.2E-2</v>
      </c>
      <c r="M10" s="158" t="s">
        <v>80</v>
      </c>
      <c r="N10" s="158" t="s">
        <v>88</v>
      </c>
      <c r="O10" s="10">
        <f>(36.7+87+40.7+82.7)/4</f>
        <v>61.775000000000006</v>
      </c>
      <c r="P10" s="165">
        <v>1.0000000000000009E-3</v>
      </c>
      <c r="Q10" s="39">
        <v>1.2E-2</v>
      </c>
      <c r="R10" s="39">
        <v>0.02</v>
      </c>
      <c r="S10" s="39">
        <v>2.5999999999999999E-2</v>
      </c>
    </row>
    <row r="11" spans="1:19" ht="14.25" customHeight="1">
      <c r="A11" s="158" t="s">
        <v>94</v>
      </c>
      <c r="B11" s="158" t="s">
        <v>89</v>
      </c>
      <c r="C11" s="158" t="s">
        <v>131</v>
      </c>
      <c r="D11" s="155">
        <v>-49.381347685025794</v>
      </c>
      <c r="E11" s="155">
        <v>-20.812636500000004</v>
      </c>
      <c r="F11" s="158">
        <v>2013</v>
      </c>
      <c r="G11" s="83" t="s">
        <v>90</v>
      </c>
      <c r="H11" s="158" t="s">
        <v>177</v>
      </c>
      <c r="I11" s="158" t="s">
        <v>91</v>
      </c>
      <c r="J11" s="158" t="s">
        <v>81</v>
      </c>
      <c r="K11" s="37">
        <v>1200</v>
      </c>
      <c r="L11" s="158">
        <v>1.2E-2</v>
      </c>
      <c r="M11" s="158" t="s">
        <v>80</v>
      </c>
      <c r="N11" s="158" t="s">
        <v>88</v>
      </c>
      <c r="O11" s="10">
        <f>(86.3+39.5+41.3+35.7)/4</f>
        <v>50.7</v>
      </c>
      <c r="P11" s="165">
        <v>2.0000000000000018E-3</v>
      </c>
      <c r="Q11" s="39">
        <v>1.2E-2</v>
      </c>
      <c r="R11" s="39">
        <v>2.5000000000000001E-2</v>
      </c>
      <c r="S11" s="39">
        <v>3.3000000000000002E-2</v>
      </c>
    </row>
    <row r="12" spans="1:19" ht="14.25" customHeight="1">
      <c r="A12" s="158" t="s">
        <v>94</v>
      </c>
      <c r="B12" s="158" t="s">
        <v>89</v>
      </c>
      <c r="C12" s="158" t="s">
        <v>113</v>
      </c>
      <c r="D12" s="127">
        <v>-45.402680140543957</v>
      </c>
      <c r="E12" s="127">
        <v>-23.806687652148753</v>
      </c>
      <c r="F12" s="158">
        <v>2013</v>
      </c>
      <c r="G12" s="83" t="s">
        <v>90</v>
      </c>
      <c r="H12" s="158" t="s">
        <v>177</v>
      </c>
      <c r="I12" s="158" t="s">
        <v>91</v>
      </c>
      <c r="J12" s="158" t="s">
        <v>81</v>
      </c>
      <c r="K12" s="37">
        <v>1200</v>
      </c>
      <c r="L12" s="158">
        <v>1.2E-2</v>
      </c>
      <c r="M12" s="158" t="s">
        <v>80</v>
      </c>
      <c r="N12" s="158" t="s">
        <v>88</v>
      </c>
      <c r="O12" s="10">
        <f>(45.9+50+73.1+14.4)/4</f>
        <v>45.85</v>
      </c>
      <c r="P12" s="165">
        <v>1.6600000000000018E-3</v>
      </c>
      <c r="Q12" s="39">
        <v>1.2500000000000001E-2</v>
      </c>
      <c r="R12" s="39">
        <v>2.64E-2</v>
      </c>
      <c r="S12" s="39">
        <v>3.5900000000000001E-2</v>
      </c>
    </row>
    <row r="13" spans="1:19" ht="14.25" customHeight="1">
      <c r="A13" s="158" t="s">
        <v>94</v>
      </c>
      <c r="B13" s="158" t="s">
        <v>89</v>
      </c>
      <c r="C13" s="158" t="s">
        <v>114</v>
      </c>
      <c r="D13" s="155">
        <v>-47.457853253204043</v>
      </c>
      <c r="E13" s="155">
        <v>-23.499323</v>
      </c>
      <c r="F13" s="158">
        <v>2013</v>
      </c>
      <c r="G13" s="83" t="s">
        <v>90</v>
      </c>
      <c r="H13" s="158" t="s">
        <v>177</v>
      </c>
      <c r="I13" s="158" t="s">
        <v>91</v>
      </c>
      <c r="J13" s="158" t="s">
        <v>81</v>
      </c>
      <c r="K13" s="37">
        <v>1200</v>
      </c>
      <c r="L13" s="158">
        <v>1.2E-2</v>
      </c>
      <c r="M13" s="158" t="s">
        <v>80</v>
      </c>
      <c r="N13" s="158" t="s">
        <v>88</v>
      </c>
      <c r="O13" s="10">
        <f>(56.3+61.7+64.2+38.8)/4</f>
        <v>55.25</v>
      </c>
      <c r="P13" s="165">
        <v>9.9999999999999742E-4</v>
      </c>
      <c r="Q13" s="39">
        <v>1.14E-2</v>
      </c>
      <c r="R13" s="39">
        <v>2.1999999999999999E-2</v>
      </c>
      <c r="S13" s="39">
        <v>2.9000000000000001E-2</v>
      </c>
    </row>
    <row r="14" spans="1:19" ht="14.25" customHeight="1">
      <c r="A14" s="158" t="s">
        <v>94</v>
      </c>
      <c r="B14" s="158" t="s">
        <v>89</v>
      </c>
      <c r="C14" s="158" t="s">
        <v>172</v>
      </c>
      <c r="D14" s="155">
        <v>-40.503552159443394</v>
      </c>
      <c r="E14" s="155">
        <v>-9.4107170962278648</v>
      </c>
      <c r="F14" s="158">
        <v>2013</v>
      </c>
      <c r="G14" s="83" t="s">
        <v>90</v>
      </c>
      <c r="H14" s="158" t="s">
        <v>177</v>
      </c>
      <c r="I14" s="158" t="s">
        <v>91</v>
      </c>
      <c r="J14" s="158" t="s">
        <v>81</v>
      </c>
      <c r="K14" s="37">
        <v>1200</v>
      </c>
      <c r="L14" s="158">
        <v>1.2E-2</v>
      </c>
      <c r="M14" s="158" t="s">
        <v>80</v>
      </c>
      <c r="N14" s="158" t="s">
        <v>88</v>
      </c>
      <c r="O14" s="10">
        <v>2.7</v>
      </c>
      <c r="P14" s="39">
        <v>1.9240000000000007E-2</v>
      </c>
      <c r="Q14" s="39">
        <v>5.11E-2</v>
      </c>
      <c r="R14" s="39">
        <v>0.1762</v>
      </c>
      <c r="S14" s="39">
        <v>0.29449999999999998</v>
      </c>
    </row>
    <row r="15" spans="1:19" ht="14.25" customHeight="1">
      <c r="A15" s="158" t="s">
        <v>94</v>
      </c>
      <c r="B15" s="158" t="s">
        <v>89</v>
      </c>
      <c r="C15" s="158" t="s">
        <v>173</v>
      </c>
      <c r="D15" s="155">
        <v>-40.513017627870106</v>
      </c>
      <c r="E15" s="155">
        <v>-11.185062160141854</v>
      </c>
      <c r="F15" s="158">
        <v>2013</v>
      </c>
      <c r="G15" s="83" t="s">
        <v>90</v>
      </c>
      <c r="H15" s="158" t="s">
        <v>177</v>
      </c>
      <c r="I15" s="158" t="s">
        <v>91</v>
      </c>
      <c r="J15" s="158" t="s">
        <v>81</v>
      </c>
      <c r="K15" s="37">
        <v>300</v>
      </c>
      <c r="L15" s="158">
        <v>1.2E-2</v>
      </c>
      <c r="M15" s="158" t="s">
        <v>80</v>
      </c>
      <c r="N15" s="158" t="s">
        <v>88</v>
      </c>
      <c r="O15" s="10">
        <v>5</v>
      </c>
      <c r="P15" s="165">
        <v>0.17999999999999994</v>
      </c>
      <c r="Q15" s="39">
        <v>0.16</v>
      </c>
      <c r="R15" s="39">
        <v>1.19</v>
      </c>
      <c r="S15" s="39">
        <v>2.7</v>
      </c>
    </row>
    <row r="16" spans="1:19" ht="14.25" customHeight="1">
      <c r="A16" s="158" t="s">
        <v>94</v>
      </c>
      <c r="B16" s="158" t="s">
        <v>89</v>
      </c>
      <c r="C16" s="158" t="s">
        <v>122</v>
      </c>
      <c r="D16" s="155">
        <v>-39.273108952008137</v>
      </c>
      <c r="E16" s="155">
        <v>-14.789039548603002</v>
      </c>
      <c r="F16" s="158">
        <v>2013</v>
      </c>
      <c r="G16" s="83" t="s">
        <v>90</v>
      </c>
      <c r="H16" s="158" t="s">
        <v>177</v>
      </c>
      <c r="I16" s="158" t="s">
        <v>91</v>
      </c>
      <c r="J16" s="158" t="s">
        <v>81</v>
      </c>
      <c r="K16" s="37">
        <v>1200</v>
      </c>
      <c r="L16" s="158">
        <v>1.2E-2</v>
      </c>
      <c r="M16" s="158" t="s">
        <v>80</v>
      </c>
      <c r="N16" s="158" t="s">
        <v>88</v>
      </c>
      <c r="O16" s="10">
        <f>(80+61.2)/2</f>
        <v>70.599999999999994</v>
      </c>
      <c r="P16" s="165">
        <v>2.9999999999999971E-2</v>
      </c>
      <c r="Q16" s="39">
        <v>7.1999999999999995E-2</v>
      </c>
      <c r="R16" s="39">
        <v>0.28999999999999998</v>
      </c>
      <c r="S16" s="39">
        <v>0.52</v>
      </c>
    </row>
    <row r="17" spans="1:20" ht="14.25" customHeight="1" thickBot="1">
      <c r="A17" s="11" t="s">
        <v>94</v>
      </c>
      <c r="B17" s="158" t="s">
        <v>89</v>
      </c>
      <c r="C17" s="158" t="s">
        <v>171</v>
      </c>
      <c r="D17" s="156">
        <v>-35.252254728054304</v>
      </c>
      <c r="E17" s="156">
        <v>-5.7508985376120609</v>
      </c>
      <c r="F17" s="158">
        <v>2013</v>
      </c>
      <c r="G17" s="83" t="s">
        <v>90</v>
      </c>
      <c r="H17" s="11" t="s">
        <v>177</v>
      </c>
      <c r="I17" s="158" t="s">
        <v>91</v>
      </c>
      <c r="J17" s="158" t="s">
        <v>81</v>
      </c>
      <c r="K17" s="46">
        <v>1200</v>
      </c>
      <c r="L17" s="158">
        <v>1.2E-2</v>
      </c>
      <c r="M17" s="158" t="s">
        <v>80</v>
      </c>
      <c r="N17" s="158" t="s">
        <v>88</v>
      </c>
      <c r="O17" s="11">
        <v>24.8</v>
      </c>
      <c r="P17" s="13">
        <v>1.9999999999999948E-3</v>
      </c>
      <c r="Q17" s="39">
        <v>1.66E-2</v>
      </c>
      <c r="R17" s="39">
        <v>3.5999999999999997E-2</v>
      </c>
      <c r="S17" s="39">
        <v>0.05</v>
      </c>
    </row>
    <row r="18" spans="1:20" ht="14.25" customHeight="1">
      <c r="A18" s="158" t="s">
        <v>94</v>
      </c>
      <c r="B18" s="34" t="s">
        <v>89</v>
      </c>
      <c r="C18" s="123" t="s">
        <v>124</v>
      </c>
      <c r="D18" s="261"/>
      <c r="E18" s="262"/>
      <c r="F18" s="34">
        <v>2013</v>
      </c>
      <c r="G18" s="99" t="s">
        <v>90</v>
      </c>
      <c r="H18" s="158" t="s">
        <v>177</v>
      </c>
      <c r="I18" s="34" t="s">
        <v>91</v>
      </c>
      <c r="J18" s="34" t="s">
        <v>93</v>
      </c>
      <c r="K18" s="34">
        <v>1200</v>
      </c>
      <c r="L18" s="34">
        <v>0.2</v>
      </c>
      <c r="M18" s="34" t="s">
        <v>80</v>
      </c>
      <c r="N18" s="34" t="s">
        <v>88</v>
      </c>
      <c r="O18" s="34">
        <v>100</v>
      </c>
      <c r="P18" s="3">
        <v>4.0000000000000036E-3</v>
      </c>
      <c r="Q18" s="47">
        <v>3.9E-2</v>
      </c>
      <c r="R18" s="47">
        <v>7.0000000000000007E-2</v>
      </c>
      <c r="S18" s="47">
        <v>0.09</v>
      </c>
    </row>
    <row r="19" spans="1:20" ht="14.25" customHeight="1">
      <c r="A19" s="158" t="s">
        <v>94</v>
      </c>
      <c r="B19" s="158" t="s">
        <v>89</v>
      </c>
      <c r="C19" s="158" t="s">
        <v>100</v>
      </c>
      <c r="D19" s="155">
        <v>-50.439226072752582</v>
      </c>
      <c r="E19" s="155">
        <v>-21.205476000000004</v>
      </c>
      <c r="F19" s="158">
        <v>2013</v>
      </c>
      <c r="G19" s="83" t="s">
        <v>90</v>
      </c>
      <c r="H19" s="158" t="s">
        <v>177</v>
      </c>
      <c r="I19" s="158" t="s">
        <v>91</v>
      </c>
      <c r="J19" s="158" t="s">
        <v>93</v>
      </c>
      <c r="K19" s="37">
        <v>1200</v>
      </c>
      <c r="L19" s="158">
        <v>0.2</v>
      </c>
      <c r="M19" s="158" t="s">
        <v>80</v>
      </c>
      <c r="N19" s="158" t="s">
        <v>88</v>
      </c>
      <c r="O19" s="38">
        <f>(91.5+98.3+87.5+100)/4</f>
        <v>94.325000000000003</v>
      </c>
      <c r="P19" s="165">
        <v>1.0000000000000009E-2</v>
      </c>
      <c r="Q19" s="3">
        <v>9.8000000000000004E-2</v>
      </c>
      <c r="R19" s="3">
        <v>0.2</v>
      </c>
      <c r="S19" s="3">
        <v>0.28000000000000003</v>
      </c>
    </row>
    <row r="20" spans="1:20" ht="14.25" customHeight="1">
      <c r="A20" s="158" t="s">
        <v>94</v>
      </c>
      <c r="B20" s="158" t="s">
        <v>89</v>
      </c>
      <c r="C20" s="158" t="s">
        <v>102</v>
      </c>
      <c r="D20" s="155">
        <v>-49.083000867090362</v>
      </c>
      <c r="E20" s="155">
        <v>-22.325122500000006</v>
      </c>
      <c r="F20" s="158">
        <v>2013</v>
      </c>
      <c r="G20" s="83" t="s">
        <v>90</v>
      </c>
      <c r="H20" s="158" t="s">
        <v>177</v>
      </c>
      <c r="I20" s="158" t="s">
        <v>91</v>
      </c>
      <c r="J20" s="158" t="s">
        <v>93</v>
      </c>
      <c r="K20" s="37">
        <v>1200</v>
      </c>
      <c r="L20" s="158">
        <v>0.2</v>
      </c>
      <c r="M20" s="158" t="s">
        <v>80</v>
      </c>
      <c r="N20" s="158" t="s">
        <v>88</v>
      </c>
      <c r="O20" s="10">
        <f>(97.4+100+98.3+100)/4</f>
        <v>98.924999999999997</v>
      </c>
      <c r="P20" s="3">
        <v>1.0000000000000009E-2</v>
      </c>
      <c r="Q20" s="3">
        <v>7.5999999999999998E-2</v>
      </c>
      <c r="R20" s="3">
        <v>0.16</v>
      </c>
      <c r="S20" s="125">
        <v>0.22</v>
      </c>
    </row>
    <row r="21" spans="1:20" ht="14.25" customHeight="1">
      <c r="A21" s="158" t="s">
        <v>94</v>
      </c>
      <c r="B21" s="158" t="s">
        <v>89</v>
      </c>
      <c r="C21" s="158" t="s">
        <v>104</v>
      </c>
      <c r="D21" s="109">
        <v>-47.06015627297316</v>
      </c>
      <c r="E21" s="109">
        <v>-22.907342500000002</v>
      </c>
      <c r="F21" s="158">
        <v>2013</v>
      </c>
      <c r="G21" s="83" t="s">
        <v>90</v>
      </c>
      <c r="H21" s="158" t="s">
        <v>177</v>
      </c>
      <c r="I21" s="158" t="s">
        <v>91</v>
      </c>
      <c r="J21" s="158" t="s">
        <v>93</v>
      </c>
      <c r="K21" s="37">
        <v>1500</v>
      </c>
      <c r="L21" s="158">
        <v>0.2</v>
      </c>
      <c r="M21" s="158" t="s">
        <v>80</v>
      </c>
      <c r="N21" s="158" t="s">
        <v>88</v>
      </c>
      <c r="O21" s="10">
        <f>(100+100+97.5+98.7+98.7)/5</f>
        <v>98.97999999999999</v>
      </c>
      <c r="P21" s="165">
        <v>9.9999999999999811E-3</v>
      </c>
      <c r="Q21" s="3">
        <v>7.9000000000000001E-2</v>
      </c>
      <c r="R21" s="3">
        <v>0.15</v>
      </c>
      <c r="S21" s="3">
        <v>0.2</v>
      </c>
    </row>
    <row r="22" spans="1:20" ht="14.25" customHeight="1">
      <c r="A22" s="158" t="s">
        <v>94</v>
      </c>
      <c r="B22" s="158" t="s">
        <v>89</v>
      </c>
      <c r="C22" s="158" t="s">
        <v>107</v>
      </c>
      <c r="D22" s="155">
        <v>-49.951645643103269</v>
      </c>
      <c r="E22" s="155">
        <v>-22.214933000000002</v>
      </c>
      <c r="F22" s="158">
        <v>2013</v>
      </c>
      <c r="G22" s="83" t="s">
        <v>90</v>
      </c>
      <c r="H22" s="158" t="s">
        <v>177</v>
      </c>
      <c r="I22" s="158" t="s">
        <v>91</v>
      </c>
      <c r="J22" s="158" t="s">
        <v>93</v>
      </c>
      <c r="K22" s="37">
        <v>1200</v>
      </c>
      <c r="L22" s="158">
        <v>0.2</v>
      </c>
      <c r="M22" s="158" t="s">
        <v>80</v>
      </c>
      <c r="N22" s="158" t="s">
        <v>88</v>
      </c>
      <c r="O22" s="10">
        <f>(97.5+97+98.6)/3</f>
        <v>97.7</v>
      </c>
      <c r="P22" s="165">
        <v>1.455999999999999E-2</v>
      </c>
      <c r="Q22" s="3">
        <v>9.3130000000000004E-2</v>
      </c>
      <c r="R22" s="3">
        <v>0.17976</v>
      </c>
      <c r="S22" s="3">
        <v>0.23610999999999999</v>
      </c>
    </row>
    <row r="23" spans="1:20" ht="14.25" customHeight="1">
      <c r="A23" s="158" t="s">
        <v>94</v>
      </c>
      <c r="B23" s="158" t="s">
        <v>89</v>
      </c>
      <c r="C23" s="158" t="s">
        <v>95</v>
      </c>
      <c r="D23" s="109">
        <v>-46.570383182112749</v>
      </c>
      <c r="E23" s="109">
        <v>-23.567386500000001</v>
      </c>
      <c r="F23" s="158">
        <v>2013</v>
      </c>
      <c r="G23" s="83" t="s">
        <v>90</v>
      </c>
      <c r="H23" s="27" t="s">
        <v>177</v>
      </c>
      <c r="I23" s="158" t="s">
        <v>91</v>
      </c>
      <c r="J23" s="158" t="s">
        <v>93</v>
      </c>
      <c r="K23" s="37">
        <v>900</v>
      </c>
      <c r="L23" s="158">
        <v>0.2</v>
      </c>
      <c r="M23" s="158" t="s">
        <v>80</v>
      </c>
      <c r="N23" s="158" t="s">
        <v>88</v>
      </c>
      <c r="O23" s="10">
        <f>(100+100+99.3)/3</f>
        <v>99.766666666666666</v>
      </c>
      <c r="P23" s="165">
        <v>9.9999999999999811E-3</v>
      </c>
      <c r="Q23" s="3">
        <v>6.3E-2</v>
      </c>
      <c r="R23" s="3">
        <v>0.15</v>
      </c>
      <c r="S23" s="3">
        <v>0.21</v>
      </c>
    </row>
    <row r="24" spans="1:20" ht="14.25" customHeight="1">
      <c r="A24" s="158" t="s">
        <v>94</v>
      </c>
      <c r="B24" s="158" t="s">
        <v>89</v>
      </c>
      <c r="C24" s="158" t="s">
        <v>108</v>
      </c>
      <c r="D24" s="155">
        <v>-51.386765581912492</v>
      </c>
      <c r="E24" s="155">
        <v>-22.122743500000002</v>
      </c>
      <c r="F24" s="158">
        <v>2013</v>
      </c>
      <c r="G24" s="83" t="s">
        <v>90</v>
      </c>
      <c r="H24" s="27" t="s">
        <v>177</v>
      </c>
      <c r="I24" s="158" t="s">
        <v>91</v>
      </c>
      <c r="J24" s="158" t="s">
        <v>93</v>
      </c>
      <c r="K24" s="37">
        <v>1200</v>
      </c>
      <c r="L24" s="158">
        <v>0.2</v>
      </c>
      <c r="M24" s="158" t="s">
        <v>80</v>
      </c>
      <c r="N24" s="158" t="s">
        <v>88</v>
      </c>
      <c r="O24" s="10">
        <f>(92.5+98.8+99.4+97.5)/4</f>
        <v>97.050000000000011</v>
      </c>
      <c r="P24" s="3">
        <v>9.9999999999999811E-3</v>
      </c>
      <c r="Q24" s="3">
        <v>8.8999999999999996E-2</v>
      </c>
      <c r="R24" s="3">
        <v>0.18</v>
      </c>
      <c r="S24" s="3">
        <v>0.23</v>
      </c>
    </row>
    <row r="25" spans="1:20" ht="14.25" customHeight="1">
      <c r="A25" s="158" t="s">
        <v>94</v>
      </c>
      <c r="B25" s="158" t="s">
        <v>89</v>
      </c>
      <c r="C25" s="158" t="s">
        <v>109</v>
      </c>
      <c r="D25" s="155">
        <v>-47.805475915541528</v>
      </c>
      <c r="E25" s="155">
        <v>-21.184834500000004</v>
      </c>
      <c r="F25" s="158">
        <v>2013</v>
      </c>
      <c r="G25" s="83" t="s">
        <v>90</v>
      </c>
      <c r="H25" s="27" t="s">
        <v>177</v>
      </c>
      <c r="I25" s="158" t="s">
        <v>91</v>
      </c>
      <c r="J25" s="158" t="s">
        <v>93</v>
      </c>
      <c r="K25" s="37">
        <v>1200</v>
      </c>
      <c r="L25" s="158">
        <v>0.2</v>
      </c>
      <c r="M25" s="158" t="s">
        <v>80</v>
      </c>
      <c r="N25" s="158" t="s">
        <v>88</v>
      </c>
      <c r="O25" s="10">
        <f>(100+92+98.7+100)/4</f>
        <v>97.674999999999997</v>
      </c>
      <c r="P25" s="165">
        <v>1.0000000000000009E-2</v>
      </c>
      <c r="Q25" s="3">
        <v>7.1400000000000005E-2</v>
      </c>
      <c r="R25" s="3">
        <v>0.17</v>
      </c>
      <c r="S25" s="3">
        <v>0.24</v>
      </c>
    </row>
    <row r="26" spans="1:20" ht="14.25" customHeight="1">
      <c r="A26" s="158" t="s">
        <v>94</v>
      </c>
      <c r="B26" s="158" t="s">
        <v>89</v>
      </c>
      <c r="C26" s="158" t="s">
        <v>110</v>
      </c>
      <c r="D26" s="155">
        <v>-46.331370849190684</v>
      </c>
      <c r="E26" s="155">
        <v>-23.933737500000003</v>
      </c>
      <c r="F26" s="158">
        <v>2013</v>
      </c>
      <c r="G26" s="83" t="s">
        <v>90</v>
      </c>
      <c r="H26" s="27" t="s">
        <v>177</v>
      </c>
      <c r="I26" s="158" t="s">
        <v>91</v>
      </c>
      <c r="J26" s="158" t="s">
        <v>93</v>
      </c>
      <c r="K26" s="37">
        <v>1200</v>
      </c>
      <c r="L26" s="158">
        <v>0.2</v>
      </c>
      <c r="M26" s="158" t="s">
        <v>80</v>
      </c>
      <c r="N26" s="158" t="s">
        <v>88</v>
      </c>
      <c r="O26" s="10">
        <f>(100+100+97.5+98.35)/4</f>
        <v>98.962500000000006</v>
      </c>
      <c r="P26" s="165">
        <v>1.0000000000000009E-2</v>
      </c>
      <c r="Q26" s="3">
        <v>7.0000000000000007E-2</v>
      </c>
      <c r="R26" s="3">
        <v>0.14000000000000001</v>
      </c>
      <c r="S26" s="3">
        <v>0.19</v>
      </c>
    </row>
    <row r="27" spans="1:20" ht="14.25" customHeight="1">
      <c r="A27" s="158" t="s">
        <v>94</v>
      </c>
      <c r="B27" s="158" t="s">
        <v>89</v>
      </c>
      <c r="C27" s="158" t="s">
        <v>131</v>
      </c>
      <c r="D27" s="155">
        <v>-49.381347685025794</v>
      </c>
      <c r="E27" s="155">
        <v>-20.812636500000004</v>
      </c>
      <c r="F27" s="158">
        <v>2013</v>
      </c>
      <c r="G27" s="83" t="s">
        <v>90</v>
      </c>
      <c r="H27" s="158" t="s">
        <v>177</v>
      </c>
      <c r="I27" s="158" t="s">
        <v>91</v>
      </c>
      <c r="J27" s="158" t="s">
        <v>93</v>
      </c>
      <c r="K27" s="37">
        <v>1200</v>
      </c>
      <c r="L27" s="158">
        <v>0.2</v>
      </c>
      <c r="M27" s="158" t="s">
        <v>80</v>
      </c>
      <c r="N27" s="158" t="s">
        <v>88</v>
      </c>
      <c r="O27" s="10">
        <f>(96+97.5+100+96)/4</f>
        <v>97.375</v>
      </c>
      <c r="P27" s="165">
        <v>9.9999999999999811E-3</v>
      </c>
      <c r="Q27" s="3">
        <v>8.6999999999999994E-2</v>
      </c>
      <c r="R27" s="3">
        <v>0.18</v>
      </c>
      <c r="S27" s="3">
        <v>0.24</v>
      </c>
    </row>
    <row r="28" spans="1:20" ht="14.25" customHeight="1">
      <c r="A28" s="158" t="s">
        <v>94</v>
      </c>
      <c r="B28" s="158" t="s">
        <v>89</v>
      </c>
      <c r="C28" s="158" t="s">
        <v>113</v>
      </c>
      <c r="D28" s="127">
        <v>-45.402680140543957</v>
      </c>
      <c r="E28" s="127">
        <v>-23.806687652148753</v>
      </c>
      <c r="F28" s="158">
        <v>2013</v>
      </c>
      <c r="G28" s="83" t="s">
        <v>90</v>
      </c>
      <c r="H28" s="158" t="s">
        <v>177</v>
      </c>
      <c r="I28" s="158" t="s">
        <v>91</v>
      </c>
      <c r="J28" s="158" t="s">
        <v>93</v>
      </c>
      <c r="K28" s="37">
        <v>1200</v>
      </c>
      <c r="L28" s="158">
        <v>0.2</v>
      </c>
      <c r="M28" s="158" t="s">
        <v>80</v>
      </c>
      <c r="N28" s="158" t="s">
        <v>88</v>
      </c>
      <c r="O28" s="10">
        <f>(97.5+96.9+95.6+94.1)/4</f>
        <v>96.025000000000006</v>
      </c>
      <c r="P28" s="39">
        <v>9.9999999999999811E-3</v>
      </c>
      <c r="Q28" s="3">
        <v>9.6000000000000002E-2</v>
      </c>
      <c r="R28" s="3">
        <v>0.21</v>
      </c>
      <c r="S28" s="3">
        <v>0.28999999999999998</v>
      </c>
    </row>
    <row r="29" spans="1:20" ht="14.25" customHeight="1">
      <c r="A29" s="158" t="s">
        <v>94</v>
      </c>
      <c r="B29" s="158" t="s">
        <v>89</v>
      </c>
      <c r="C29" s="158" t="s">
        <v>114</v>
      </c>
      <c r="D29" s="155">
        <v>-47.457853253204043</v>
      </c>
      <c r="E29" s="155">
        <v>-23.499323</v>
      </c>
      <c r="F29" s="158">
        <v>2013</v>
      </c>
      <c r="G29" s="83" t="s">
        <v>90</v>
      </c>
      <c r="H29" s="158" t="s">
        <v>177</v>
      </c>
      <c r="I29" s="158" t="s">
        <v>91</v>
      </c>
      <c r="J29" s="158" t="s">
        <v>93</v>
      </c>
      <c r="K29" s="37">
        <v>1200</v>
      </c>
      <c r="L29" s="158">
        <v>0.2</v>
      </c>
      <c r="M29" s="158" t="s">
        <v>80</v>
      </c>
      <c r="N29" s="158" t="s">
        <v>88</v>
      </c>
      <c r="O29" s="10">
        <v>97.9</v>
      </c>
      <c r="P29" s="165">
        <v>2.0000000000000018E-2</v>
      </c>
      <c r="Q29" s="3">
        <v>7.2999999999999995E-2</v>
      </c>
      <c r="R29" s="3">
        <v>0.17</v>
      </c>
      <c r="S29" s="3">
        <v>0.23</v>
      </c>
      <c r="T29" s="27" t="s">
        <v>99</v>
      </c>
    </row>
    <row r="30" spans="1:20" ht="14.25" customHeight="1">
      <c r="A30" s="158" t="s">
        <v>94</v>
      </c>
      <c r="B30" s="158" t="s">
        <v>89</v>
      </c>
      <c r="C30" s="158" t="s">
        <v>173</v>
      </c>
      <c r="D30" s="155">
        <v>-40.513017627870106</v>
      </c>
      <c r="E30" s="155">
        <v>-11.185062160141854</v>
      </c>
      <c r="F30" s="158">
        <v>2013</v>
      </c>
      <c r="G30" s="83" t="s">
        <v>90</v>
      </c>
      <c r="H30" s="158" t="s">
        <v>177</v>
      </c>
      <c r="I30" s="158" t="s">
        <v>91</v>
      </c>
      <c r="J30" s="158" t="s">
        <v>93</v>
      </c>
      <c r="K30" s="37">
        <v>1200</v>
      </c>
      <c r="L30" s="158">
        <v>0.2</v>
      </c>
      <c r="M30" s="158" t="s">
        <v>80</v>
      </c>
      <c r="N30" s="158" t="s">
        <v>88</v>
      </c>
      <c r="O30" s="10">
        <f>(98.1+100+98.7+100)/4</f>
        <v>99.2</v>
      </c>
      <c r="P30" s="39">
        <v>1.0000000000000009E-2</v>
      </c>
      <c r="Q30" s="3">
        <v>7.0000000000000007E-2</v>
      </c>
      <c r="R30" s="3">
        <v>0.14000000000000001</v>
      </c>
      <c r="S30" s="3">
        <v>0.19</v>
      </c>
    </row>
    <row r="31" spans="1:20" ht="14.25" customHeight="1">
      <c r="A31" s="158" t="s">
        <v>94</v>
      </c>
      <c r="B31" s="158" t="s">
        <v>89</v>
      </c>
      <c r="C31" s="158" t="s">
        <v>122</v>
      </c>
      <c r="D31" s="155">
        <v>-39.273108952008137</v>
      </c>
      <c r="E31" s="155">
        <v>-14.789039548603002</v>
      </c>
      <c r="F31" s="158">
        <v>2013</v>
      </c>
      <c r="G31" s="83" t="s">
        <v>90</v>
      </c>
      <c r="H31" s="158" t="s">
        <v>177</v>
      </c>
      <c r="I31" s="158" t="s">
        <v>91</v>
      </c>
      <c r="J31" s="158" t="s">
        <v>93</v>
      </c>
      <c r="K31" s="37">
        <v>1500</v>
      </c>
      <c r="L31" s="158">
        <v>0.2</v>
      </c>
      <c r="M31" s="158" t="s">
        <v>80</v>
      </c>
      <c r="N31" s="158" t="s">
        <v>88</v>
      </c>
      <c r="O31" s="10">
        <f>(90+100+100+95+100)/5</f>
        <v>97</v>
      </c>
      <c r="P31" s="165">
        <v>9.9999999999999811E-3</v>
      </c>
      <c r="Q31" s="3">
        <v>6.8000000000000005E-2</v>
      </c>
      <c r="R31" s="3">
        <v>0.18</v>
      </c>
      <c r="S31" s="3">
        <v>0.28000000000000003</v>
      </c>
    </row>
    <row r="32" spans="1:20" ht="14.25" customHeight="1" thickBot="1">
      <c r="A32" s="11" t="s">
        <v>94</v>
      </c>
      <c r="B32" s="158" t="s">
        <v>89</v>
      </c>
      <c r="C32" s="158" t="s">
        <v>171</v>
      </c>
      <c r="D32" s="156">
        <v>-35.252254728054304</v>
      </c>
      <c r="E32" s="156">
        <v>-5.7508985376120609</v>
      </c>
      <c r="F32" s="158">
        <v>2013</v>
      </c>
      <c r="G32" s="83" t="s">
        <v>90</v>
      </c>
      <c r="H32" s="11" t="s">
        <v>177</v>
      </c>
      <c r="I32" s="158" t="s">
        <v>91</v>
      </c>
      <c r="J32" s="158" t="s">
        <v>93</v>
      </c>
      <c r="K32" s="46">
        <v>900</v>
      </c>
      <c r="L32" s="158">
        <v>0.2</v>
      </c>
      <c r="M32" s="158" t="s">
        <v>80</v>
      </c>
      <c r="N32" s="158" t="s">
        <v>88</v>
      </c>
      <c r="O32" s="30">
        <f>(99.4+100+99.2)/3</f>
        <v>99.533333333333346</v>
      </c>
      <c r="P32" s="13">
        <v>9.9999999999999811E-3</v>
      </c>
      <c r="Q32" s="3">
        <v>6.7000000000000004E-2</v>
      </c>
      <c r="R32" s="3">
        <v>0.15</v>
      </c>
      <c r="S32" s="3">
        <v>0.2</v>
      </c>
    </row>
    <row r="33" spans="1:20" ht="14.25" customHeight="1">
      <c r="A33" s="158" t="s">
        <v>94</v>
      </c>
      <c r="B33" s="34" t="s">
        <v>89</v>
      </c>
      <c r="C33" s="126" t="s">
        <v>124</v>
      </c>
      <c r="D33" s="261"/>
      <c r="E33" s="262"/>
      <c r="F33" s="34">
        <v>2013</v>
      </c>
      <c r="G33" s="99" t="s">
        <v>90</v>
      </c>
      <c r="H33" s="158" t="s">
        <v>177</v>
      </c>
      <c r="I33" s="34" t="s">
        <v>91</v>
      </c>
      <c r="J33" s="34" t="s">
        <v>174</v>
      </c>
      <c r="K33" s="158">
        <f t="shared" ref="K33:K39" si="0">(36*10)*3</f>
        <v>1080</v>
      </c>
      <c r="L33" s="34"/>
      <c r="M33" s="34" t="s">
        <v>80</v>
      </c>
      <c r="N33" s="34" t="s">
        <v>88</v>
      </c>
      <c r="O33" s="34"/>
      <c r="P33" s="31">
        <v>0.12999999999999989</v>
      </c>
      <c r="Q33" s="47">
        <v>1.1599999999999999</v>
      </c>
      <c r="R33" s="47">
        <v>1.9</v>
      </c>
      <c r="S33" s="47">
        <v>2.34</v>
      </c>
    </row>
    <row r="34" spans="1:20" ht="14.25" customHeight="1">
      <c r="A34" s="158" t="s">
        <v>94</v>
      </c>
      <c r="B34" s="158" t="s">
        <v>89</v>
      </c>
      <c r="C34" s="158" t="s">
        <v>131</v>
      </c>
      <c r="D34" s="155">
        <v>-49.381347685025794</v>
      </c>
      <c r="E34" s="155">
        <v>-20.812636500000004</v>
      </c>
      <c r="F34" s="158">
        <v>2013</v>
      </c>
      <c r="G34" s="83" t="s">
        <v>90</v>
      </c>
      <c r="H34" s="158" t="s">
        <v>177</v>
      </c>
      <c r="I34" s="158" t="s">
        <v>91</v>
      </c>
      <c r="J34" s="158" t="s">
        <v>174</v>
      </c>
      <c r="K34" s="158">
        <f t="shared" si="0"/>
        <v>1080</v>
      </c>
      <c r="L34" s="158"/>
      <c r="M34" s="158" t="s">
        <v>80</v>
      </c>
      <c r="N34" s="158" t="s">
        <v>88</v>
      </c>
      <c r="O34" s="37"/>
      <c r="P34" s="31">
        <v>0.31999999999999984</v>
      </c>
      <c r="Q34" s="3">
        <v>2.25</v>
      </c>
      <c r="R34" s="3">
        <v>4.04</v>
      </c>
      <c r="S34" s="3">
        <v>5.15</v>
      </c>
    </row>
    <row r="35" spans="1:20" ht="14.25" customHeight="1">
      <c r="A35" s="158" t="s">
        <v>94</v>
      </c>
      <c r="B35" s="158" t="s">
        <v>89</v>
      </c>
      <c r="C35" s="158" t="s">
        <v>114</v>
      </c>
      <c r="D35" s="155">
        <v>-47.457853253204043</v>
      </c>
      <c r="E35" s="155">
        <v>-23.499323</v>
      </c>
      <c r="F35" s="158">
        <v>2013</v>
      </c>
      <c r="G35" s="83" t="s">
        <v>90</v>
      </c>
      <c r="H35" s="158" t="s">
        <v>177</v>
      </c>
      <c r="I35" s="158" t="s">
        <v>91</v>
      </c>
      <c r="J35" s="158" t="s">
        <v>174</v>
      </c>
      <c r="K35" s="158">
        <f t="shared" si="0"/>
        <v>1080</v>
      </c>
      <c r="L35" s="158"/>
      <c r="M35" s="158" t="s">
        <v>80</v>
      </c>
      <c r="N35" s="158" t="s">
        <v>88</v>
      </c>
      <c r="O35" s="37"/>
      <c r="P35" s="31">
        <v>0.5</v>
      </c>
      <c r="Q35" s="3">
        <v>2.1</v>
      </c>
      <c r="R35" s="3">
        <v>4.3</v>
      </c>
      <c r="S35" s="3">
        <v>5.8</v>
      </c>
    </row>
    <row r="36" spans="1:20" ht="14.25" customHeight="1">
      <c r="A36" s="158" t="s">
        <v>94</v>
      </c>
      <c r="B36" s="158" t="s">
        <v>89</v>
      </c>
      <c r="C36" s="158" t="s">
        <v>172</v>
      </c>
      <c r="D36" s="155">
        <v>-40.503552159443394</v>
      </c>
      <c r="E36" s="155">
        <v>-9.4107170962278648</v>
      </c>
      <c r="F36" s="158">
        <v>2013</v>
      </c>
      <c r="G36" s="83" t="s">
        <v>90</v>
      </c>
      <c r="H36" s="158" t="s">
        <v>177</v>
      </c>
      <c r="I36" s="158" t="s">
        <v>91</v>
      </c>
      <c r="J36" s="158" t="s">
        <v>174</v>
      </c>
      <c r="K36" s="158">
        <f t="shared" si="0"/>
        <v>1080</v>
      </c>
      <c r="L36" s="158"/>
      <c r="M36" s="158" t="s">
        <v>80</v>
      </c>
      <c r="N36" s="158" t="s">
        <v>88</v>
      </c>
      <c r="O36" s="37"/>
      <c r="P36" s="31">
        <v>0.10000000000000009</v>
      </c>
      <c r="Q36" s="3">
        <v>2.2999999999999998</v>
      </c>
      <c r="R36" s="3">
        <v>3</v>
      </c>
      <c r="S36" s="3">
        <v>3.4</v>
      </c>
    </row>
    <row r="37" spans="1:20" ht="14.25" customHeight="1">
      <c r="A37" s="158" t="s">
        <v>94</v>
      </c>
      <c r="B37" s="158" t="s">
        <v>89</v>
      </c>
      <c r="C37" s="158" t="s">
        <v>173</v>
      </c>
      <c r="D37" s="155">
        <v>-40.513017627870106</v>
      </c>
      <c r="E37" s="155">
        <v>-11.185062160141854</v>
      </c>
      <c r="F37" s="158">
        <v>2013</v>
      </c>
      <c r="G37" s="83" t="s">
        <v>90</v>
      </c>
      <c r="H37" s="158" t="s">
        <v>177</v>
      </c>
      <c r="I37" s="158" t="s">
        <v>91</v>
      </c>
      <c r="J37" s="158" t="s">
        <v>174</v>
      </c>
      <c r="K37" s="158">
        <f t="shared" si="0"/>
        <v>1080</v>
      </c>
      <c r="L37" s="158"/>
      <c r="M37" s="158" t="s">
        <v>80</v>
      </c>
      <c r="N37" s="158" t="s">
        <v>88</v>
      </c>
      <c r="O37" s="38"/>
      <c r="P37" s="31">
        <v>6.999999999999984E-2</v>
      </c>
      <c r="Q37" s="3">
        <v>2.61</v>
      </c>
      <c r="R37" s="3">
        <v>3.26</v>
      </c>
      <c r="S37" s="3">
        <v>3.58</v>
      </c>
    </row>
    <row r="38" spans="1:20" ht="14.25" customHeight="1">
      <c r="A38" s="158" t="s">
        <v>94</v>
      </c>
      <c r="B38" s="158" t="s">
        <v>89</v>
      </c>
      <c r="C38" s="158" t="s">
        <v>122</v>
      </c>
      <c r="D38" s="155">
        <v>-39.273108952008137</v>
      </c>
      <c r="E38" s="155">
        <v>-14.789039548603002</v>
      </c>
      <c r="F38" s="158">
        <v>2013</v>
      </c>
      <c r="G38" s="83" t="s">
        <v>90</v>
      </c>
      <c r="H38" s="158" t="s">
        <v>177</v>
      </c>
      <c r="I38" s="158" t="s">
        <v>91</v>
      </c>
      <c r="J38" s="158" t="s">
        <v>174</v>
      </c>
      <c r="K38" s="158">
        <f t="shared" si="0"/>
        <v>1080</v>
      </c>
      <c r="L38" s="158"/>
      <c r="M38" s="158" t="s">
        <v>80</v>
      </c>
      <c r="N38" s="158" t="s">
        <v>88</v>
      </c>
      <c r="O38" s="38"/>
      <c r="P38" s="31">
        <v>0.5</v>
      </c>
      <c r="Q38" s="3">
        <v>2.44</v>
      </c>
      <c r="R38" s="3">
        <v>4.46</v>
      </c>
      <c r="S38" s="3">
        <v>5.73</v>
      </c>
    </row>
    <row r="39" spans="1:20" ht="14.25" customHeight="1" thickBot="1">
      <c r="A39" s="11" t="s">
        <v>94</v>
      </c>
      <c r="B39" s="11" t="s">
        <v>89</v>
      </c>
      <c r="C39" s="11" t="s">
        <v>171</v>
      </c>
      <c r="D39" s="156">
        <v>-35.252254728054304</v>
      </c>
      <c r="E39" s="156">
        <v>-5.7508985376120609</v>
      </c>
      <c r="F39" s="11">
        <v>2013</v>
      </c>
      <c r="G39" s="98" t="s">
        <v>90</v>
      </c>
      <c r="H39" s="11" t="s">
        <v>177</v>
      </c>
      <c r="I39" s="11" t="s">
        <v>91</v>
      </c>
      <c r="J39" s="11" t="s">
        <v>174</v>
      </c>
      <c r="K39" s="11">
        <f t="shared" si="0"/>
        <v>1080</v>
      </c>
      <c r="L39" s="11"/>
      <c r="M39" s="11" t="s">
        <v>80</v>
      </c>
      <c r="N39" s="11" t="s">
        <v>88</v>
      </c>
      <c r="O39" s="46"/>
      <c r="P39" s="30">
        <v>0.29999999999999982</v>
      </c>
      <c r="Q39" s="13">
        <v>2.1</v>
      </c>
      <c r="R39" s="13">
        <v>3.5</v>
      </c>
      <c r="S39" s="13">
        <v>4.2</v>
      </c>
    </row>
    <row r="40" spans="1:20" s="101" customFormat="1" ht="14.25" customHeight="1">
      <c r="A40" s="158" t="s">
        <v>94</v>
      </c>
      <c r="B40" s="158" t="s">
        <v>89</v>
      </c>
      <c r="C40" s="8" t="s">
        <v>124</v>
      </c>
      <c r="D40" s="261"/>
      <c r="E40" s="262"/>
      <c r="F40" s="34">
        <v>2013</v>
      </c>
      <c r="G40" s="99" t="s">
        <v>90</v>
      </c>
      <c r="H40" s="158" t="s">
        <v>188</v>
      </c>
      <c r="I40" s="34" t="s">
        <v>91</v>
      </c>
      <c r="J40" s="34" t="s">
        <v>20</v>
      </c>
      <c r="K40" s="158">
        <v>450</v>
      </c>
      <c r="L40" s="10">
        <v>73</v>
      </c>
      <c r="M40" s="111" t="s">
        <v>50</v>
      </c>
      <c r="N40" s="158" t="s">
        <v>88</v>
      </c>
      <c r="O40" s="158">
        <v>100</v>
      </c>
      <c r="P40" s="10">
        <v>0</v>
      </c>
      <c r="Q40" s="158"/>
      <c r="R40" s="158"/>
      <c r="S40" s="158"/>
    </row>
    <row r="41" spans="1:20" s="101" customFormat="1" ht="14.25" customHeight="1">
      <c r="A41" s="158" t="s">
        <v>94</v>
      </c>
      <c r="B41" s="158" t="s">
        <v>89</v>
      </c>
      <c r="C41" s="67" t="s">
        <v>100</v>
      </c>
      <c r="D41" s="155">
        <v>-50.439226072752582</v>
      </c>
      <c r="E41" s="155">
        <v>-21.205476000000004</v>
      </c>
      <c r="F41" s="158">
        <v>2013</v>
      </c>
      <c r="G41" s="83" t="s">
        <v>90</v>
      </c>
      <c r="H41" s="158" t="s">
        <v>188</v>
      </c>
      <c r="I41" s="158" t="s">
        <v>91</v>
      </c>
      <c r="J41" s="158" t="s">
        <v>20</v>
      </c>
      <c r="K41" s="66">
        <v>600</v>
      </c>
      <c r="L41" s="10">
        <v>146</v>
      </c>
      <c r="M41" s="111" t="s">
        <v>50</v>
      </c>
      <c r="N41" s="158" t="s">
        <v>88</v>
      </c>
      <c r="O41" s="69">
        <v>61.65</v>
      </c>
      <c r="P41" s="10">
        <v>13.209718644493046</v>
      </c>
      <c r="Q41" s="66"/>
      <c r="R41" s="88"/>
      <c r="S41" s="66"/>
      <c r="T41" s="158"/>
    </row>
    <row r="42" spans="1:20" s="101" customFormat="1" ht="14.25" customHeight="1">
      <c r="A42" s="158" t="s">
        <v>94</v>
      </c>
      <c r="B42" s="158" t="s">
        <v>89</v>
      </c>
      <c r="C42" s="67" t="s">
        <v>102</v>
      </c>
      <c r="D42" s="155">
        <v>-49.083000867090362</v>
      </c>
      <c r="E42" s="155">
        <v>-22.325122500000006</v>
      </c>
      <c r="F42" s="158">
        <v>2013</v>
      </c>
      <c r="G42" s="83" t="s">
        <v>90</v>
      </c>
      <c r="H42" s="158" t="s">
        <v>188</v>
      </c>
      <c r="I42" s="158" t="s">
        <v>91</v>
      </c>
      <c r="J42" s="158" t="s">
        <v>20</v>
      </c>
      <c r="K42" s="67">
        <v>600</v>
      </c>
      <c r="L42" s="10">
        <v>146</v>
      </c>
      <c r="M42" s="111" t="s">
        <v>50</v>
      </c>
      <c r="N42" s="158" t="s">
        <v>88</v>
      </c>
      <c r="O42" s="69">
        <v>82.025000000000006</v>
      </c>
      <c r="P42" s="10">
        <v>9.9352486967697491</v>
      </c>
      <c r="Q42" s="66"/>
      <c r="R42" s="89"/>
      <c r="S42" s="66"/>
      <c r="T42" s="158"/>
    </row>
    <row r="43" spans="1:20" ht="14.25" customHeight="1">
      <c r="A43" s="158" t="s">
        <v>94</v>
      </c>
      <c r="B43" s="158" t="s">
        <v>89</v>
      </c>
      <c r="C43" s="67" t="s">
        <v>104</v>
      </c>
      <c r="D43" s="109">
        <v>-47.06015627297316</v>
      </c>
      <c r="E43" s="109">
        <v>-22.907342500000002</v>
      </c>
      <c r="F43" s="158">
        <v>2013</v>
      </c>
      <c r="G43" s="83" t="s">
        <v>90</v>
      </c>
      <c r="H43" s="158" t="s">
        <v>188</v>
      </c>
      <c r="I43" s="158" t="s">
        <v>91</v>
      </c>
      <c r="J43" s="158" t="s">
        <v>20</v>
      </c>
      <c r="K43" s="67">
        <v>600</v>
      </c>
      <c r="L43" s="10">
        <v>146</v>
      </c>
      <c r="M43" s="111" t="s">
        <v>50</v>
      </c>
      <c r="N43" s="158" t="s">
        <v>88</v>
      </c>
      <c r="O43" s="69">
        <v>91.6</v>
      </c>
      <c r="P43" s="10">
        <v>5.6550862062394787</v>
      </c>
      <c r="Q43" s="66"/>
      <c r="R43" s="73"/>
      <c r="S43" s="66"/>
    </row>
    <row r="44" spans="1:20" ht="14.25" customHeight="1">
      <c r="A44" s="158" t="s">
        <v>94</v>
      </c>
      <c r="B44" s="158" t="s">
        <v>89</v>
      </c>
      <c r="C44" s="67" t="s">
        <v>107</v>
      </c>
      <c r="D44" s="155">
        <v>-49.951645643103269</v>
      </c>
      <c r="E44" s="155">
        <v>-22.214933000000002</v>
      </c>
      <c r="F44" s="158">
        <v>2013</v>
      </c>
      <c r="G44" s="83" t="s">
        <v>90</v>
      </c>
      <c r="H44" s="158" t="s">
        <v>188</v>
      </c>
      <c r="I44" s="158" t="s">
        <v>91</v>
      </c>
      <c r="J44" s="158" t="s">
        <v>20</v>
      </c>
      <c r="K44" s="67">
        <v>600</v>
      </c>
      <c r="L44" s="10">
        <v>146</v>
      </c>
      <c r="M44" s="111" t="s">
        <v>50</v>
      </c>
      <c r="N44" s="158" t="s">
        <v>88</v>
      </c>
      <c r="O44" s="69">
        <v>62.675000000000004</v>
      </c>
      <c r="P44" s="10">
        <v>17.533087767608585</v>
      </c>
      <c r="Q44" s="67"/>
      <c r="R44" s="69"/>
      <c r="S44" s="66"/>
    </row>
    <row r="45" spans="1:20" ht="14.25" customHeight="1">
      <c r="A45" s="158" t="s">
        <v>94</v>
      </c>
      <c r="B45" s="158" t="s">
        <v>89</v>
      </c>
      <c r="C45" s="67" t="s">
        <v>95</v>
      </c>
      <c r="D45" s="109">
        <v>-46.570383182112749</v>
      </c>
      <c r="E45" s="109">
        <v>-23.567386500000001</v>
      </c>
      <c r="F45" s="158">
        <v>2013</v>
      </c>
      <c r="G45" s="83" t="s">
        <v>90</v>
      </c>
      <c r="H45" s="158" t="s">
        <v>188</v>
      </c>
      <c r="I45" s="158" t="s">
        <v>91</v>
      </c>
      <c r="J45" s="158" t="s">
        <v>20</v>
      </c>
      <c r="K45" s="67">
        <v>600</v>
      </c>
      <c r="L45" s="10">
        <v>146</v>
      </c>
      <c r="M45" s="111" t="s">
        <v>50</v>
      </c>
      <c r="N45" s="158" t="s">
        <v>88</v>
      </c>
      <c r="O45" s="69">
        <v>77.974999999999994</v>
      </c>
      <c r="P45" s="10">
        <v>9.3866483191109751</v>
      </c>
      <c r="Q45" s="67"/>
      <c r="R45" s="69"/>
      <c r="S45" s="67"/>
    </row>
    <row r="46" spans="1:20" ht="14.25" customHeight="1">
      <c r="A46" s="158" t="s">
        <v>94</v>
      </c>
      <c r="B46" s="158" t="s">
        <v>89</v>
      </c>
      <c r="C46" s="67" t="s">
        <v>108</v>
      </c>
      <c r="D46" s="155">
        <v>-51.386765581912492</v>
      </c>
      <c r="E46" s="155">
        <v>-22.122743500000002</v>
      </c>
      <c r="F46" s="158">
        <v>2013</v>
      </c>
      <c r="G46" s="83" t="s">
        <v>90</v>
      </c>
      <c r="H46" s="158" t="s">
        <v>188</v>
      </c>
      <c r="I46" s="158" t="s">
        <v>91</v>
      </c>
      <c r="J46" s="158" t="s">
        <v>20</v>
      </c>
      <c r="K46" s="67">
        <v>600</v>
      </c>
      <c r="L46" s="10">
        <v>146</v>
      </c>
      <c r="M46" s="111" t="s">
        <v>50</v>
      </c>
      <c r="N46" s="158" t="s">
        <v>88</v>
      </c>
      <c r="O46" s="69">
        <v>65.174999999999997</v>
      </c>
      <c r="P46" s="10">
        <v>12.599305536417486</v>
      </c>
      <c r="Q46" s="67"/>
      <c r="R46" s="69"/>
      <c r="S46" s="67"/>
    </row>
    <row r="47" spans="1:20" ht="14.25" customHeight="1">
      <c r="A47" s="158" t="s">
        <v>94</v>
      </c>
      <c r="B47" s="158" t="s">
        <v>89</v>
      </c>
      <c r="C47" s="67" t="s">
        <v>109</v>
      </c>
      <c r="D47" s="155">
        <v>-47.805475915541528</v>
      </c>
      <c r="E47" s="155">
        <v>-21.184834500000004</v>
      </c>
      <c r="F47" s="158">
        <v>2013</v>
      </c>
      <c r="G47" s="83" t="s">
        <v>90</v>
      </c>
      <c r="H47" s="158" t="s">
        <v>188</v>
      </c>
      <c r="I47" s="158" t="s">
        <v>91</v>
      </c>
      <c r="J47" s="158" t="s">
        <v>20</v>
      </c>
      <c r="K47" s="67">
        <v>600</v>
      </c>
      <c r="L47" s="10">
        <v>146</v>
      </c>
      <c r="M47" s="111" t="s">
        <v>50</v>
      </c>
      <c r="N47" s="158" t="s">
        <v>88</v>
      </c>
      <c r="O47" s="69">
        <v>72.400000000000006</v>
      </c>
      <c r="P47" s="10">
        <v>23.669741584281514</v>
      </c>
      <c r="Q47" s="67"/>
      <c r="R47" s="69"/>
      <c r="S47" s="67"/>
    </row>
    <row r="48" spans="1:20" ht="14.25" customHeight="1">
      <c r="A48" s="158" t="s">
        <v>94</v>
      </c>
      <c r="B48" s="158" t="s">
        <v>89</v>
      </c>
      <c r="C48" s="67" t="s">
        <v>110</v>
      </c>
      <c r="D48" s="155">
        <v>-46.331370849190684</v>
      </c>
      <c r="E48" s="155">
        <v>-23.933737500000003</v>
      </c>
      <c r="F48" s="158">
        <v>2013</v>
      </c>
      <c r="G48" s="83" t="s">
        <v>90</v>
      </c>
      <c r="H48" s="158" t="s">
        <v>188</v>
      </c>
      <c r="I48" s="158" t="s">
        <v>91</v>
      </c>
      <c r="J48" s="158" t="s">
        <v>20</v>
      </c>
      <c r="K48" s="67">
        <v>600</v>
      </c>
      <c r="L48" s="10">
        <v>146</v>
      </c>
      <c r="M48" s="111" t="s">
        <v>50</v>
      </c>
      <c r="N48" s="158" t="s">
        <v>88</v>
      </c>
      <c r="O48" s="69">
        <v>54.225000000000001</v>
      </c>
      <c r="P48" s="10">
        <v>20.194780678845373</v>
      </c>
      <c r="Q48" s="67"/>
      <c r="R48" s="69"/>
      <c r="S48" s="67"/>
    </row>
    <row r="49" spans="1:19" ht="14.25" customHeight="1">
      <c r="A49" s="158" t="s">
        <v>94</v>
      </c>
      <c r="B49" s="158" t="s">
        <v>89</v>
      </c>
      <c r="C49" s="67" t="s">
        <v>131</v>
      </c>
      <c r="D49" s="155">
        <v>-49.381347685025794</v>
      </c>
      <c r="E49" s="155">
        <v>-20.812636500000004</v>
      </c>
      <c r="F49" s="158">
        <v>2013</v>
      </c>
      <c r="G49" s="83" t="s">
        <v>90</v>
      </c>
      <c r="H49" s="158" t="s">
        <v>188</v>
      </c>
      <c r="I49" s="158" t="s">
        <v>91</v>
      </c>
      <c r="J49" s="158" t="s">
        <v>20</v>
      </c>
      <c r="K49" s="67">
        <v>600</v>
      </c>
      <c r="L49" s="10">
        <v>146</v>
      </c>
      <c r="M49" s="111" t="s">
        <v>50</v>
      </c>
      <c r="N49" s="158" t="s">
        <v>88</v>
      </c>
      <c r="O49" s="69">
        <v>43.5</v>
      </c>
      <c r="P49" s="10">
        <v>12.199180300331658</v>
      </c>
      <c r="Q49" s="67"/>
      <c r="R49" s="69"/>
      <c r="S49" s="67"/>
    </row>
    <row r="50" spans="1:19" ht="14.25" customHeight="1">
      <c r="A50" s="158" t="s">
        <v>94</v>
      </c>
      <c r="B50" s="158" t="s">
        <v>89</v>
      </c>
      <c r="C50" s="67" t="s">
        <v>113</v>
      </c>
      <c r="D50" s="127">
        <v>-45.402680140543957</v>
      </c>
      <c r="E50" s="127">
        <v>-23.806687652148753</v>
      </c>
      <c r="F50" s="158">
        <v>2013</v>
      </c>
      <c r="G50" s="83" t="s">
        <v>90</v>
      </c>
      <c r="H50" s="158" t="s">
        <v>188</v>
      </c>
      <c r="I50" s="158" t="s">
        <v>91</v>
      </c>
      <c r="J50" s="158" t="s">
        <v>20</v>
      </c>
      <c r="K50" s="67">
        <v>600</v>
      </c>
      <c r="L50" s="10">
        <v>146</v>
      </c>
      <c r="M50" s="111" t="s">
        <v>50</v>
      </c>
      <c r="N50" s="158" t="s">
        <v>88</v>
      </c>
      <c r="O50" s="69">
        <v>60.849999999999994</v>
      </c>
      <c r="P50" s="10">
        <v>18.406248938879433</v>
      </c>
      <c r="Q50" s="67"/>
      <c r="R50" s="69"/>
      <c r="S50" s="67"/>
    </row>
    <row r="51" spans="1:19" ht="14.25" customHeight="1">
      <c r="A51" s="158" t="s">
        <v>94</v>
      </c>
      <c r="B51" s="158" t="s">
        <v>89</v>
      </c>
      <c r="C51" s="67" t="s">
        <v>114</v>
      </c>
      <c r="D51" s="155">
        <v>-47.457853253204043</v>
      </c>
      <c r="E51" s="155">
        <v>-23.499323</v>
      </c>
      <c r="F51" s="158">
        <v>2013</v>
      </c>
      <c r="G51" s="83" t="s">
        <v>90</v>
      </c>
      <c r="H51" s="158" t="s">
        <v>188</v>
      </c>
      <c r="I51" s="158" t="s">
        <v>91</v>
      </c>
      <c r="J51" s="158" t="s">
        <v>20</v>
      </c>
      <c r="K51" s="67">
        <v>600</v>
      </c>
      <c r="L51" s="10">
        <v>146</v>
      </c>
      <c r="M51" s="111" t="s">
        <v>50</v>
      </c>
      <c r="N51" s="158" t="s">
        <v>88</v>
      </c>
      <c r="O51" s="69">
        <v>79.625</v>
      </c>
      <c r="P51" s="10">
        <v>18.993748971701208</v>
      </c>
      <c r="Q51" s="67"/>
      <c r="R51" s="69"/>
      <c r="S51" s="67"/>
    </row>
    <row r="52" spans="1:19" ht="14.25" customHeight="1">
      <c r="A52" s="158" t="s">
        <v>94</v>
      </c>
      <c r="B52" s="158" t="s">
        <v>89</v>
      </c>
      <c r="C52" s="67" t="s">
        <v>172</v>
      </c>
      <c r="D52" s="155">
        <v>-40.503552159443394</v>
      </c>
      <c r="E52" s="155">
        <v>-9.4107170962278648</v>
      </c>
      <c r="F52" s="158">
        <v>2013</v>
      </c>
      <c r="G52" s="83" t="s">
        <v>90</v>
      </c>
      <c r="H52" s="158" t="s">
        <v>188</v>
      </c>
      <c r="I52" s="158" t="s">
        <v>91</v>
      </c>
      <c r="J52" s="158" t="s">
        <v>20</v>
      </c>
      <c r="K52" s="67">
        <v>600</v>
      </c>
      <c r="L52" s="10">
        <v>146</v>
      </c>
      <c r="M52" s="111" t="s">
        <v>50</v>
      </c>
      <c r="N52" s="158" t="s">
        <v>88</v>
      </c>
      <c r="O52" s="69">
        <v>94.724999999999994</v>
      </c>
      <c r="P52" s="10">
        <v>5.3580935664344862</v>
      </c>
      <c r="R52" s="69"/>
      <c r="S52" s="67"/>
    </row>
    <row r="53" spans="1:19" ht="14.25" customHeight="1">
      <c r="A53" s="158" t="s">
        <v>94</v>
      </c>
      <c r="B53" s="158" t="s">
        <v>89</v>
      </c>
      <c r="C53" s="67" t="s">
        <v>173</v>
      </c>
      <c r="D53" s="155">
        <v>-40.513017627870106</v>
      </c>
      <c r="E53" s="155">
        <v>-11.185062160141854</v>
      </c>
      <c r="F53" s="158">
        <v>2013</v>
      </c>
      <c r="G53" s="83" t="s">
        <v>90</v>
      </c>
      <c r="H53" s="158" t="s">
        <v>188</v>
      </c>
      <c r="I53" s="158" t="s">
        <v>91</v>
      </c>
      <c r="J53" s="158" t="s">
        <v>20</v>
      </c>
      <c r="K53" s="67">
        <v>600</v>
      </c>
      <c r="L53" s="10">
        <v>146</v>
      </c>
      <c r="M53" s="111" t="s">
        <v>50</v>
      </c>
      <c r="N53" s="158" t="s">
        <v>88</v>
      </c>
      <c r="O53" s="69">
        <v>83.474999999999994</v>
      </c>
      <c r="P53" s="10">
        <v>6.6112908472299656</v>
      </c>
      <c r="R53" s="69"/>
      <c r="S53" s="67"/>
    </row>
    <row r="54" spans="1:19" ht="14.25" customHeight="1">
      <c r="A54" s="158" t="s">
        <v>94</v>
      </c>
      <c r="B54" s="158" t="s">
        <v>89</v>
      </c>
      <c r="C54" s="67" t="s">
        <v>122</v>
      </c>
      <c r="D54" s="155">
        <v>-39.273108952008137</v>
      </c>
      <c r="E54" s="155">
        <v>-14.789039548603002</v>
      </c>
      <c r="F54" s="158">
        <v>2013</v>
      </c>
      <c r="G54" s="83" t="s">
        <v>90</v>
      </c>
      <c r="H54" s="158" t="s">
        <v>188</v>
      </c>
      <c r="I54" s="158" t="s">
        <v>91</v>
      </c>
      <c r="J54" s="158" t="s">
        <v>20</v>
      </c>
      <c r="K54" s="67">
        <v>600</v>
      </c>
      <c r="L54" s="10">
        <v>146</v>
      </c>
      <c r="M54" s="111" t="s">
        <v>50</v>
      </c>
      <c r="N54" s="158" t="s">
        <v>88</v>
      </c>
      <c r="O54" s="69">
        <v>79.974999999999994</v>
      </c>
      <c r="P54" s="10">
        <v>9.8184774787133549</v>
      </c>
      <c r="R54" s="69"/>
      <c r="S54" s="71"/>
    </row>
    <row r="55" spans="1:19" ht="14.25" customHeight="1">
      <c r="A55" s="158" t="s">
        <v>94</v>
      </c>
      <c r="B55" s="158" t="s">
        <v>89</v>
      </c>
      <c r="C55" s="67" t="s">
        <v>184</v>
      </c>
      <c r="D55" s="155">
        <v>-49.255814275815766</v>
      </c>
      <c r="E55" s="155">
        <v>-16.673309773838948</v>
      </c>
      <c r="F55" s="158">
        <v>2013</v>
      </c>
      <c r="G55" s="83" t="s">
        <v>90</v>
      </c>
      <c r="H55" s="158" t="s">
        <v>188</v>
      </c>
      <c r="I55" s="158" t="s">
        <v>91</v>
      </c>
      <c r="J55" s="158" t="s">
        <v>20</v>
      </c>
      <c r="K55" s="67">
        <v>600</v>
      </c>
      <c r="L55" s="10">
        <v>146</v>
      </c>
      <c r="M55" s="111" t="s">
        <v>50</v>
      </c>
      <c r="N55" s="158" t="s">
        <v>88</v>
      </c>
      <c r="O55" s="67">
        <v>48.4</v>
      </c>
      <c r="P55" s="10">
        <v>12.689890989812854</v>
      </c>
      <c r="Q55" s="67"/>
      <c r="R55" s="69"/>
      <c r="S55" s="71"/>
    </row>
    <row r="56" spans="1:19" ht="14.25" customHeight="1">
      <c r="A56" s="158" t="s">
        <v>94</v>
      </c>
      <c r="B56" s="158" t="s">
        <v>89</v>
      </c>
      <c r="C56" s="67" t="s">
        <v>185</v>
      </c>
      <c r="D56" s="155">
        <v>-43.926453173530454</v>
      </c>
      <c r="E56" s="155">
        <v>-19.937524293775052</v>
      </c>
      <c r="F56" s="158">
        <v>2013</v>
      </c>
      <c r="G56" s="83" t="s">
        <v>90</v>
      </c>
      <c r="H56" s="158" t="s">
        <v>188</v>
      </c>
      <c r="I56" s="158" t="s">
        <v>91</v>
      </c>
      <c r="J56" s="158" t="s">
        <v>20</v>
      </c>
      <c r="K56" s="67">
        <v>600</v>
      </c>
      <c r="L56" s="10">
        <v>146</v>
      </c>
      <c r="M56" s="111" t="s">
        <v>50</v>
      </c>
      <c r="N56" s="158" t="s">
        <v>88</v>
      </c>
      <c r="O56" s="69">
        <v>72.150000000000006</v>
      </c>
      <c r="P56" s="10">
        <v>16.508280750378983</v>
      </c>
      <c r="Q56" s="67"/>
      <c r="R56" s="69"/>
      <c r="S56" s="71"/>
    </row>
    <row r="57" spans="1:19" ht="14.25" customHeight="1" thickBot="1">
      <c r="A57" s="11" t="s">
        <v>94</v>
      </c>
      <c r="B57" s="11" t="s">
        <v>89</v>
      </c>
      <c r="C57" s="68" t="s">
        <v>171</v>
      </c>
      <c r="D57" s="156">
        <v>-35.252254728054304</v>
      </c>
      <c r="E57" s="156">
        <v>-5.7508985376120609</v>
      </c>
      <c r="F57" s="11">
        <v>2013</v>
      </c>
      <c r="G57" s="98" t="s">
        <v>90</v>
      </c>
      <c r="H57" s="11" t="s">
        <v>188</v>
      </c>
      <c r="I57" s="11" t="s">
        <v>91</v>
      </c>
      <c r="J57" s="11" t="s">
        <v>20</v>
      </c>
      <c r="K57" s="68">
        <v>600</v>
      </c>
      <c r="L57" s="30">
        <v>146</v>
      </c>
      <c r="M57" s="114" t="s">
        <v>50</v>
      </c>
      <c r="N57" s="11" t="s">
        <v>88</v>
      </c>
      <c r="O57" s="70">
        <v>80.875</v>
      </c>
      <c r="P57" s="30">
        <v>15.138334342544644</v>
      </c>
      <c r="Q57" s="67"/>
      <c r="R57" s="69"/>
      <c r="S57" s="71"/>
    </row>
    <row r="58" spans="1:19" ht="14.25" customHeight="1">
      <c r="A58" s="158" t="s">
        <v>94</v>
      </c>
      <c r="B58" s="158" t="s">
        <v>89</v>
      </c>
      <c r="C58" s="8" t="s">
        <v>124</v>
      </c>
      <c r="D58" s="261"/>
      <c r="E58" s="262"/>
      <c r="F58" s="34">
        <v>2013</v>
      </c>
      <c r="G58" s="99" t="s">
        <v>90</v>
      </c>
      <c r="H58" s="158" t="s">
        <v>188</v>
      </c>
      <c r="I58" s="34" t="s">
        <v>91</v>
      </c>
      <c r="J58" s="34" t="s">
        <v>93</v>
      </c>
      <c r="K58" s="27">
        <v>450</v>
      </c>
      <c r="L58" s="31">
        <v>146</v>
      </c>
      <c r="M58" s="111" t="s">
        <v>50</v>
      </c>
      <c r="N58" s="158" t="s">
        <v>88</v>
      </c>
      <c r="O58" s="27">
        <v>100</v>
      </c>
      <c r="P58" s="10">
        <v>0</v>
      </c>
      <c r="Q58" s="67"/>
      <c r="R58" s="69"/>
      <c r="S58" s="71"/>
    </row>
    <row r="59" spans="1:19" ht="14.25" customHeight="1">
      <c r="A59" s="158" t="s">
        <v>94</v>
      </c>
      <c r="B59" s="158" t="s">
        <v>89</v>
      </c>
      <c r="C59" s="67" t="s">
        <v>100</v>
      </c>
      <c r="D59" s="155">
        <v>-50.439226072752582</v>
      </c>
      <c r="E59" s="155">
        <v>-21.205476000000004</v>
      </c>
      <c r="F59" s="158">
        <v>2013</v>
      </c>
      <c r="G59" s="83" t="s">
        <v>90</v>
      </c>
      <c r="H59" s="158" t="s">
        <v>188</v>
      </c>
      <c r="I59" s="158" t="s">
        <v>91</v>
      </c>
      <c r="J59" s="158" t="s">
        <v>93</v>
      </c>
      <c r="K59" s="66">
        <v>600</v>
      </c>
      <c r="L59" s="10">
        <v>292</v>
      </c>
      <c r="M59" s="111" t="s">
        <v>50</v>
      </c>
      <c r="N59" s="158" t="s">
        <v>88</v>
      </c>
      <c r="O59" s="71">
        <v>100</v>
      </c>
      <c r="P59" s="10">
        <v>0</v>
      </c>
      <c r="Q59" s="67"/>
      <c r="R59" s="69"/>
      <c r="S59" s="71"/>
    </row>
    <row r="60" spans="1:19" ht="14.25" customHeight="1">
      <c r="A60" s="158" t="s">
        <v>94</v>
      </c>
      <c r="B60" s="158" t="s">
        <v>89</v>
      </c>
      <c r="C60" s="67" t="s">
        <v>102</v>
      </c>
      <c r="D60" s="155">
        <v>-49.083000867090362</v>
      </c>
      <c r="E60" s="155">
        <v>-22.325122500000006</v>
      </c>
      <c r="F60" s="158">
        <v>2013</v>
      </c>
      <c r="G60" s="83" t="s">
        <v>90</v>
      </c>
      <c r="H60" s="158" t="s">
        <v>188</v>
      </c>
      <c r="I60" s="158" t="s">
        <v>91</v>
      </c>
      <c r="J60" s="158" t="s">
        <v>93</v>
      </c>
      <c r="K60" s="66">
        <v>600</v>
      </c>
      <c r="L60" s="10">
        <v>292</v>
      </c>
      <c r="M60" s="111" t="s">
        <v>50</v>
      </c>
      <c r="N60" s="158" t="s">
        <v>88</v>
      </c>
      <c r="O60" s="71">
        <v>100</v>
      </c>
      <c r="P60" s="31">
        <v>0</v>
      </c>
    </row>
    <row r="61" spans="1:19" ht="14.25" customHeight="1">
      <c r="A61" s="158" t="s">
        <v>94</v>
      </c>
      <c r="B61" s="158" t="s">
        <v>89</v>
      </c>
      <c r="C61" s="67" t="s">
        <v>104</v>
      </c>
      <c r="D61" s="109">
        <v>-47.06015627297316</v>
      </c>
      <c r="E61" s="109">
        <v>-22.907342500000002</v>
      </c>
      <c r="F61" s="158">
        <v>2013</v>
      </c>
      <c r="G61" s="83" t="s">
        <v>90</v>
      </c>
      <c r="H61" s="158" t="s">
        <v>188</v>
      </c>
      <c r="I61" s="158" t="s">
        <v>91</v>
      </c>
      <c r="J61" s="158" t="s">
        <v>93</v>
      </c>
      <c r="K61" s="67">
        <v>450</v>
      </c>
      <c r="L61" s="10">
        <v>292</v>
      </c>
      <c r="M61" s="111" t="s">
        <v>50</v>
      </c>
      <c r="N61" s="158" t="s">
        <v>88</v>
      </c>
      <c r="O61" s="71">
        <v>100</v>
      </c>
      <c r="P61" s="31">
        <v>0</v>
      </c>
    </row>
    <row r="62" spans="1:19" ht="14.25" customHeight="1">
      <c r="A62" s="158" t="s">
        <v>94</v>
      </c>
      <c r="B62" s="158" t="s">
        <v>89</v>
      </c>
      <c r="C62" s="67" t="s">
        <v>107</v>
      </c>
      <c r="D62" s="155">
        <v>-49.951645643103269</v>
      </c>
      <c r="E62" s="155">
        <v>-22.214933000000002</v>
      </c>
      <c r="F62" s="158">
        <v>2013</v>
      </c>
      <c r="G62" s="83" t="s">
        <v>90</v>
      </c>
      <c r="H62" s="158" t="s">
        <v>188</v>
      </c>
      <c r="I62" s="158" t="s">
        <v>91</v>
      </c>
      <c r="J62" s="158" t="s">
        <v>93</v>
      </c>
      <c r="K62" s="67">
        <v>600</v>
      </c>
      <c r="L62" s="10">
        <v>292</v>
      </c>
      <c r="M62" s="111" t="s">
        <v>50</v>
      </c>
      <c r="N62" s="158" t="s">
        <v>88</v>
      </c>
      <c r="O62" s="69">
        <v>99.275000000000006</v>
      </c>
      <c r="P62" s="31">
        <v>1</v>
      </c>
    </row>
    <row r="63" spans="1:19" ht="14.25" customHeight="1">
      <c r="A63" s="158" t="s">
        <v>94</v>
      </c>
      <c r="B63" s="158" t="s">
        <v>89</v>
      </c>
      <c r="C63" s="67" t="s">
        <v>95</v>
      </c>
      <c r="D63" s="109">
        <v>-46.570383182112749</v>
      </c>
      <c r="E63" s="109">
        <v>-23.567386500000001</v>
      </c>
      <c r="F63" s="158">
        <v>2013</v>
      </c>
      <c r="G63" s="83" t="s">
        <v>90</v>
      </c>
      <c r="H63" s="158" t="s">
        <v>188</v>
      </c>
      <c r="I63" s="158" t="s">
        <v>91</v>
      </c>
      <c r="J63" s="158" t="s">
        <v>93</v>
      </c>
      <c r="K63" s="67">
        <v>600</v>
      </c>
      <c r="L63" s="10">
        <v>292</v>
      </c>
      <c r="M63" s="111" t="s">
        <v>50</v>
      </c>
      <c r="N63" s="158" t="s">
        <v>88</v>
      </c>
      <c r="O63" s="71">
        <v>100</v>
      </c>
      <c r="P63" s="31">
        <v>0</v>
      </c>
    </row>
    <row r="64" spans="1:19" ht="14.25" customHeight="1">
      <c r="A64" s="158" t="s">
        <v>94</v>
      </c>
      <c r="B64" s="158" t="s">
        <v>89</v>
      </c>
      <c r="C64" s="67" t="s">
        <v>108</v>
      </c>
      <c r="D64" s="155">
        <v>-51.386765581912492</v>
      </c>
      <c r="E64" s="155">
        <v>-22.122743500000002</v>
      </c>
      <c r="F64" s="158">
        <v>2013</v>
      </c>
      <c r="G64" s="83" t="s">
        <v>90</v>
      </c>
      <c r="H64" s="158" t="s">
        <v>188</v>
      </c>
      <c r="I64" s="158" t="s">
        <v>91</v>
      </c>
      <c r="J64" s="158" t="s">
        <v>93</v>
      </c>
      <c r="K64" s="67">
        <v>600</v>
      </c>
      <c r="L64" s="10">
        <v>292</v>
      </c>
      <c r="M64" s="111" t="s">
        <v>50</v>
      </c>
      <c r="N64" s="158" t="s">
        <v>88</v>
      </c>
      <c r="O64" s="69">
        <v>99.75</v>
      </c>
      <c r="P64" s="31">
        <v>0.5</v>
      </c>
    </row>
    <row r="65" spans="1:16" ht="14.25" customHeight="1">
      <c r="A65" s="158" t="s">
        <v>94</v>
      </c>
      <c r="B65" s="158" t="s">
        <v>89</v>
      </c>
      <c r="C65" s="67" t="s">
        <v>109</v>
      </c>
      <c r="D65" s="155">
        <v>-47.805475915541528</v>
      </c>
      <c r="E65" s="155">
        <v>-21.184834500000004</v>
      </c>
      <c r="F65" s="158">
        <v>2013</v>
      </c>
      <c r="G65" s="83" t="s">
        <v>90</v>
      </c>
      <c r="H65" s="158" t="s">
        <v>188</v>
      </c>
      <c r="I65" s="158" t="s">
        <v>91</v>
      </c>
      <c r="J65" s="158" t="s">
        <v>93</v>
      </c>
      <c r="K65" s="67">
        <v>600</v>
      </c>
      <c r="L65" s="10">
        <v>292</v>
      </c>
      <c r="M65" s="111" t="s">
        <v>50</v>
      </c>
      <c r="N65" s="158" t="s">
        <v>88</v>
      </c>
      <c r="O65" s="71">
        <v>100</v>
      </c>
      <c r="P65" s="31">
        <v>0</v>
      </c>
    </row>
    <row r="66" spans="1:16" ht="14.25" customHeight="1">
      <c r="A66" s="158" t="s">
        <v>94</v>
      </c>
      <c r="B66" s="158" t="s">
        <v>89</v>
      </c>
      <c r="C66" s="67" t="s">
        <v>110</v>
      </c>
      <c r="D66" s="155">
        <v>-46.331370849190684</v>
      </c>
      <c r="E66" s="155">
        <v>-23.933737500000003</v>
      </c>
      <c r="F66" s="158">
        <v>2013</v>
      </c>
      <c r="G66" s="83" t="s">
        <v>90</v>
      </c>
      <c r="H66" s="158" t="s">
        <v>188</v>
      </c>
      <c r="I66" s="158" t="s">
        <v>91</v>
      </c>
      <c r="J66" s="158" t="s">
        <v>93</v>
      </c>
      <c r="K66" s="67">
        <v>600</v>
      </c>
      <c r="L66" s="10">
        <v>292</v>
      </c>
      <c r="M66" s="111" t="s">
        <v>50</v>
      </c>
      <c r="N66" s="158" t="s">
        <v>88</v>
      </c>
      <c r="O66" s="69">
        <v>99.5</v>
      </c>
      <c r="P66" s="31">
        <v>0.6</v>
      </c>
    </row>
    <row r="67" spans="1:16" ht="14.25" customHeight="1">
      <c r="A67" s="158" t="s">
        <v>94</v>
      </c>
      <c r="B67" s="158" t="s">
        <v>89</v>
      </c>
      <c r="C67" s="67" t="s">
        <v>131</v>
      </c>
      <c r="D67" s="155">
        <v>-49.381347685025794</v>
      </c>
      <c r="E67" s="155">
        <v>-20.812636500000004</v>
      </c>
      <c r="F67" s="158">
        <v>2013</v>
      </c>
      <c r="G67" s="83" t="s">
        <v>90</v>
      </c>
      <c r="H67" s="158" t="s">
        <v>188</v>
      </c>
      <c r="I67" s="158" t="s">
        <v>91</v>
      </c>
      <c r="J67" s="158" t="s">
        <v>93</v>
      </c>
      <c r="K67" s="67">
        <v>600</v>
      </c>
      <c r="L67" s="10">
        <v>292</v>
      </c>
      <c r="M67" s="111" t="s">
        <v>50</v>
      </c>
      <c r="N67" s="158" t="s">
        <v>88</v>
      </c>
      <c r="O67" s="71">
        <v>100</v>
      </c>
      <c r="P67" s="31">
        <v>0</v>
      </c>
    </row>
    <row r="68" spans="1:16" ht="14.25" customHeight="1">
      <c r="A68" s="158" t="s">
        <v>94</v>
      </c>
      <c r="B68" s="158" t="s">
        <v>89</v>
      </c>
      <c r="C68" s="67" t="s">
        <v>113</v>
      </c>
      <c r="D68" s="127">
        <v>-45.402680140543957</v>
      </c>
      <c r="E68" s="127">
        <v>-23.806687652148753</v>
      </c>
      <c r="F68" s="158">
        <v>2013</v>
      </c>
      <c r="G68" s="83" t="s">
        <v>90</v>
      </c>
      <c r="H68" s="158" t="s">
        <v>188</v>
      </c>
      <c r="I68" s="158" t="s">
        <v>91</v>
      </c>
      <c r="J68" s="158" t="s">
        <v>93</v>
      </c>
      <c r="K68" s="67">
        <v>600</v>
      </c>
      <c r="L68" s="10">
        <v>292</v>
      </c>
      <c r="M68" s="111" t="s">
        <v>50</v>
      </c>
      <c r="N68" s="158" t="s">
        <v>88</v>
      </c>
      <c r="O68" s="69">
        <v>96.5</v>
      </c>
      <c r="P68" s="31">
        <v>0.6</v>
      </c>
    </row>
    <row r="69" spans="1:16" ht="14.25" customHeight="1">
      <c r="A69" s="158" t="s">
        <v>94</v>
      </c>
      <c r="B69" s="158" t="s">
        <v>89</v>
      </c>
      <c r="C69" s="67" t="s">
        <v>114</v>
      </c>
      <c r="D69" s="155">
        <v>-47.457853253204043</v>
      </c>
      <c r="E69" s="155">
        <v>-23.499323</v>
      </c>
      <c r="F69" s="158">
        <v>2013</v>
      </c>
      <c r="G69" s="83" t="s">
        <v>90</v>
      </c>
      <c r="H69" s="158" t="s">
        <v>188</v>
      </c>
      <c r="I69" s="158" t="s">
        <v>91</v>
      </c>
      <c r="J69" s="158" t="s">
        <v>93</v>
      </c>
      <c r="K69" s="67">
        <v>600</v>
      </c>
      <c r="L69" s="10">
        <v>292</v>
      </c>
      <c r="M69" s="111" t="s">
        <v>50</v>
      </c>
      <c r="N69" s="158" t="s">
        <v>88</v>
      </c>
      <c r="O69" s="71">
        <v>100</v>
      </c>
      <c r="P69" s="31">
        <v>0</v>
      </c>
    </row>
    <row r="70" spans="1:16" ht="14.25" customHeight="1">
      <c r="A70" s="158" t="s">
        <v>94</v>
      </c>
      <c r="B70" s="158" t="s">
        <v>89</v>
      </c>
      <c r="C70" s="67" t="s">
        <v>172</v>
      </c>
      <c r="D70" s="155">
        <v>-40.503552159443394</v>
      </c>
      <c r="E70" s="155">
        <v>-9.4107170962278648</v>
      </c>
      <c r="F70" s="158">
        <v>2013</v>
      </c>
      <c r="G70" s="83" t="s">
        <v>90</v>
      </c>
      <c r="H70" s="158" t="s">
        <v>188</v>
      </c>
      <c r="I70" s="158" t="s">
        <v>91</v>
      </c>
      <c r="J70" s="158" t="s">
        <v>93</v>
      </c>
      <c r="K70" s="71">
        <v>600</v>
      </c>
      <c r="L70" s="10">
        <v>292</v>
      </c>
      <c r="M70" s="111" t="s">
        <v>50</v>
      </c>
      <c r="N70" s="158" t="s">
        <v>88</v>
      </c>
      <c r="O70" s="71">
        <v>100</v>
      </c>
      <c r="P70" s="31">
        <v>0</v>
      </c>
    </row>
    <row r="71" spans="1:16" ht="14.25" customHeight="1">
      <c r="A71" s="158" t="s">
        <v>94</v>
      </c>
      <c r="B71" s="158" t="s">
        <v>89</v>
      </c>
      <c r="C71" s="67" t="s">
        <v>173</v>
      </c>
      <c r="D71" s="155">
        <v>-40.513017627870106</v>
      </c>
      <c r="E71" s="155">
        <v>-11.185062160141854</v>
      </c>
      <c r="F71" s="158">
        <v>2013</v>
      </c>
      <c r="G71" s="83" t="s">
        <v>90</v>
      </c>
      <c r="H71" s="158" t="s">
        <v>188</v>
      </c>
      <c r="I71" s="158" t="s">
        <v>91</v>
      </c>
      <c r="J71" s="158" t="s">
        <v>93</v>
      </c>
      <c r="K71" s="67">
        <v>600</v>
      </c>
      <c r="L71" s="10">
        <v>292</v>
      </c>
      <c r="M71" s="111" t="s">
        <v>50</v>
      </c>
      <c r="N71" s="158" t="s">
        <v>88</v>
      </c>
      <c r="O71" s="69">
        <v>98.5</v>
      </c>
      <c r="P71" s="31">
        <v>0.3</v>
      </c>
    </row>
    <row r="72" spans="1:16" ht="14.25" customHeight="1">
      <c r="A72" s="158" t="s">
        <v>94</v>
      </c>
      <c r="B72" s="158" t="s">
        <v>89</v>
      </c>
      <c r="C72" s="67" t="s">
        <v>122</v>
      </c>
      <c r="D72" s="155">
        <v>-39.273108952008137</v>
      </c>
      <c r="E72" s="155">
        <v>-14.789039548603002</v>
      </c>
      <c r="F72" s="158">
        <v>2013</v>
      </c>
      <c r="G72" s="83" t="s">
        <v>90</v>
      </c>
      <c r="H72" s="158" t="s">
        <v>188</v>
      </c>
      <c r="I72" s="158" t="s">
        <v>91</v>
      </c>
      <c r="J72" s="158" t="s">
        <v>93</v>
      </c>
      <c r="K72" s="67">
        <v>450</v>
      </c>
      <c r="L72" s="10">
        <v>292</v>
      </c>
      <c r="M72" s="111" t="s">
        <v>50</v>
      </c>
      <c r="N72" s="158" t="s">
        <v>88</v>
      </c>
      <c r="O72" s="69">
        <v>99</v>
      </c>
      <c r="P72" s="31">
        <v>0.1</v>
      </c>
    </row>
    <row r="73" spans="1:16" ht="14.25" customHeight="1">
      <c r="A73" s="158" t="s">
        <v>94</v>
      </c>
      <c r="B73" s="158" t="s">
        <v>89</v>
      </c>
      <c r="C73" s="67" t="s">
        <v>184</v>
      </c>
      <c r="D73" s="155">
        <v>-49.255814275815766</v>
      </c>
      <c r="E73" s="155">
        <v>-16.673309773838948</v>
      </c>
      <c r="F73" s="158">
        <v>2013</v>
      </c>
      <c r="G73" s="83" t="s">
        <v>90</v>
      </c>
      <c r="H73" s="158" t="s">
        <v>188</v>
      </c>
      <c r="I73" s="158" t="s">
        <v>91</v>
      </c>
      <c r="J73" s="158" t="s">
        <v>93</v>
      </c>
      <c r="K73" s="71">
        <v>600</v>
      </c>
      <c r="L73" s="10">
        <v>292</v>
      </c>
      <c r="M73" s="111" t="s">
        <v>50</v>
      </c>
      <c r="N73" s="158" t="s">
        <v>88</v>
      </c>
      <c r="O73" s="69">
        <v>98.224999999999994</v>
      </c>
      <c r="P73" s="31">
        <v>0.2</v>
      </c>
    </row>
    <row r="74" spans="1:16" ht="14.25" customHeight="1">
      <c r="A74" s="158" t="s">
        <v>94</v>
      </c>
      <c r="B74" s="158" t="s">
        <v>89</v>
      </c>
      <c r="C74" s="67" t="s">
        <v>185</v>
      </c>
      <c r="D74" s="155">
        <v>-43.926453173530454</v>
      </c>
      <c r="E74" s="155">
        <v>-19.937524293775052</v>
      </c>
      <c r="F74" s="158">
        <v>2013</v>
      </c>
      <c r="G74" s="83" t="s">
        <v>90</v>
      </c>
      <c r="H74" s="158" t="s">
        <v>188</v>
      </c>
      <c r="I74" s="158" t="s">
        <v>91</v>
      </c>
      <c r="J74" s="158" t="s">
        <v>93</v>
      </c>
      <c r="K74" s="71">
        <v>600</v>
      </c>
      <c r="L74" s="10">
        <v>292</v>
      </c>
      <c r="M74" s="111" t="s">
        <v>50</v>
      </c>
      <c r="N74" s="158" t="s">
        <v>88</v>
      </c>
      <c r="O74" s="69">
        <v>96.575000000000003</v>
      </c>
      <c r="P74" s="31">
        <v>0.5</v>
      </c>
    </row>
    <row r="75" spans="1:16" ht="14.25" customHeight="1">
      <c r="A75" s="158" t="s">
        <v>94</v>
      </c>
      <c r="B75" s="158" t="s">
        <v>89</v>
      </c>
      <c r="C75" s="67" t="s">
        <v>120</v>
      </c>
      <c r="D75" s="155">
        <v>-42.805270458223347</v>
      </c>
      <c r="E75" s="155">
        <v>-5.0863419523217006</v>
      </c>
      <c r="F75" s="158">
        <v>2013</v>
      </c>
      <c r="G75" s="83" t="s">
        <v>90</v>
      </c>
      <c r="H75" s="158" t="s">
        <v>188</v>
      </c>
      <c r="I75" s="158" t="s">
        <v>91</v>
      </c>
      <c r="J75" s="158" t="s">
        <v>93</v>
      </c>
      <c r="K75" s="71">
        <v>600</v>
      </c>
      <c r="L75" s="10">
        <v>292</v>
      </c>
      <c r="M75" s="111" t="s">
        <v>50</v>
      </c>
      <c r="N75" s="158" t="s">
        <v>88</v>
      </c>
      <c r="O75" s="71">
        <v>100</v>
      </c>
      <c r="P75" s="31">
        <v>0</v>
      </c>
    </row>
    <row r="76" spans="1:16" ht="14.25" customHeight="1" thickBot="1">
      <c r="A76" s="11" t="s">
        <v>94</v>
      </c>
      <c r="B76" s="11" t="s">
        <v>89</v>
      </c>
      <c r="C76" s="68" t="s">
        <v>171</v>
      </c>
      <c r="D76" s="156">
        <v>-35.252254728054304</v>
      </c>
      <c r="E76" s="156">
        <v>-5.7508985376120609</v>
      </c>
      <c r="F76" s="11">
        <v>2013</v>
      </c>
      <c r="G76" s="98" t="s">
        <v>90</v>
      </c>
      <c r="H76" s="11" t="s">
        <v>188</v>
      </c>
      <c r="I76" s="11" t="s">
        <v>91</v>
      </c>
      <c r="J76" s="11" t="s">
        <v>93</v>
      </c>
      <c r="K76" s="72">
        <v>600</v>
      </c>
      <c r="L76" s="30">
        <v>292</v>
      </c>
      <c r="M76" s="114" t="s">
        <v>50</v>
      </c>
      <c r="N76" s="11" t="s">
        <v>88</v>
      </c>
      <c r="O76" s="72">
        <v>100</v>
      </c>
      <c r="P76" s="30">
        <v>0</v>
      </c>
    </row>
    <row r="77" spans="1:16" ht="14.25" customHeight="1">
      <c r="A77" s="158" t="s">
        <v>94</v>
      </c>
      <c r="B77" s="158" t="s">
        <v>89</v>
      </c>
      <c r="C77" s="8" t="s">
        <v>124</v>
      </c>
      <c r="D77" s="261"/>
      <c r="E77" s="262"/>
      <c r="F77" s="34">
        <v>2013</v>
      </c>
      <c r="G77" s="99" t="s">
        <v>90</v>
      </c>
      <c r="H77" s="158" t="s">
        <v>188</v>
      </c>
      <c r="I77" s="34" t="s">
        <v>91</v>
      </c>
      <c r="J77" s="34" t="s">
        <v>21</v>
      </c>
      <c r="K77" s="27">
        <v>450</v>
      </c>
      <c r="L77" s="31">
        <v>9</v>
      </c>
      <c r="M77" s="111" t="s">
        <v>50</v>
      </c>
      <c r="N77" s="158" t="s">
        <v>88</v>
      </c>
      <c r="O77" s="27">
        <v>100</v>
      </c>
      <c r="P77" s="31">
        <v>0</v>
      </c>
    </row>
    <row r="78" spans="1:16" ht="14.25" customHeight="1">
      <c r="A78" s="158" t="s">
        <v>94</v>
      </c>
      <c r="B78" s="158" t="s">
        <v>89</v>
      </c>
      <c r="C78" s="67" t="s">
        <v>100</v>
      </c>
      <c r="D78" s="155">
        <v>-50.439226072752582</v>
      </c>
      <c r="E78" s="155">
        <v>-21.205476000000004</v>
      </c>
      <c r="F78" s="158">
        <v>2013</v>
      </c>
      <c r="G78" s="83" t="s">
        <v>90</v>
      </c>
      <c r="H78" s="158" t="s">
        <v>188</v>
      </c>
      <c r="I78" s="158" t="s">
        <v>91</v>
      </c>
      <c r="J78" s="158" t="s">
        <v>21</v>
      </c>
      <c r="K78" s="286">
        <v>600</v>
      </c>
      <c r="L78" s="31">
        <v>18</v>
      </c>
      <c r="M78" s="111" t="s">
        <v>50</v>
      </c>
      <c r="N78" s="158" t="s">
        <v>88</v>
      </c>
      <c r="O78" s="283">
        <v>49.275000000000006</v>
      </c>
      <c r="P78" s="31">
        <v>11</v>
      </c>
    </row>
    <row r="79" spans="1:16" ht="14.25" customHeight="1">
      <c r="A79" s="158" t="s">
        <v>94</v>
      </c>
      <c r="B79" s="158" t="s">
        <v>89</v>
      </c>
      <c r="C79" s="67" t="s">
        <v>102</v>
      </c>
      <c r="D79" s="155">
        <v>-49.083000867090362</v>
      </c>
      <c r="E79" s="155">
        <v>-22.325122500000006</v>
      </c>
      <c r="F79" s="158">
        <v>2013</v>
      </c>
      <c r="G79" s="83" t="s">
        <v>90</v>
      </c>
      <c r="H79" s="158" t="s">
        <v>188</v>
      </c>
      <c r="I79" s="158" t="s">
        <v>91</v>
      </c>
      <c r="J79" s="158" t="s">
        <v>21</v>
      </c>
      <c r="K79" s="66">
        <v>600</v>
      </c>
      <c r="L79" s="31">
        <v>18</v>
      </c>
      <c r="M79" s="111" t="s">
        <v>50</v>
      </c>
      <c r="N79" s="158" t="s">
        <v>88</v>
      </c>
      <c r="O79" s="69">
        <v>65.949999999999989</v>
      </c>
      <c r="P79" s="31">
        <v>15.7</v>
      </c>
    </row>
    <row r="80" spans="1:16" ht="14.25" customHeight="1">
      <c r="A80" s="158" t="s">
        <v>94</v>
      </c>
      <c r="B80" s="158" t="s">
        <v>89</v>
      </c>
      <c r="C80" s="67" t="s">
        <v>104</v>
      </c>
      <c r="D80" s="109">
        <v>-47.06015627297316</v>
      </c>
      <c r="E80" s="109">
        <v>-22.907342500000002</v>
      </c>
      <c r="F80" s="158">
        <v>2013</v>
      </c>
      <c r="G80" s="83" t="s">
        <v>90</v>
      </c>
      <c r="H80" s="158" t="s">
        <v>188</v>
      </c>
      <c r="I80" s="158" t="s">
        <v>91</v>
      </c>
      <c r="J80" s="158" t="s">
        <v>21</v>
      </c>
      <c r="K80" s="285">
        <v>450</v>
      </c>
      <c r="L80" s="31">
        <v>18</v>
      </c>
      <c r="M80" s="111" t="s">
        <v>50</v>
      </c>
      <c r="N80" s="158" t="s">
        <v>88</v>
      </c>
      <c r="O80" s="284">
        <v>80.2</v>
      </c>
      <c r="P80" s="31">
        <v>15.5</v>
      </c>
    </row>
    <row r="81" spans="1:16" ht="14.25" customHeight="1">
      <c r="A81" s="158" t="s">
        <v>94</v>
      </c>
      <c r="B81" s="158" t="s">
        <v>89</v>
      </c>
      <c r="C81" s="67" t="s">
        <v>107</v>
      </c>
      <c r="D81" s="155">
        <v>-49.951645643103269</v>
      </c>
      <c r="E81" s="155">
        <v>-22.214933000000002</v>
      </c>
      <c r="F81" s="158">
        <v>2013</v>
      </c>
      <c r="G81" s="83" t="s">
        <v>90</v>
      </c>
      <c r="H81" s="158" t="s">
        <v>188</v>
      </c>
      <c r="I81" s="158" t="s">
        <v>91</v>
      </c>
      <c r="J81" s="158" t="s">
        <v>21</v>
      </c>
      <c r="K81" s="285">
        <v>600</v>
      </c>
      <c r="L81" s="31">
        <v>18</v>
      </c>
      <c r="M81" s="111" t="s">
        <v>50</v>
      </c>
      <c r="N81" s="158" t="s">
        <v>88</v>
      </c>
      <c r="O81" s="284">
        <v>57.75</v>
      </c>
      <c r="P81" s="31">
        <v>15.5</v>
      </c>
    </row>
    <row r="82" spans="1:16" ht="14.25" customHeight="1">
      <c r="A82" s="158" t="s">
        <v>94</v>
      </c>
      <c r="B82" s="158" t="s">
        <v>89</v>
      </c>
      <c r="C82" s="67" t="s">
        <v>95</v>
      </c>
      <c r="D82" s="109">
        <v>-46.570383182112749</v>
      </c>
      <c r="E82" s="109">
        <v>-23.567386500000001</v>
      </c>
      <c r="F82" s="158">
        <v>2013</v>
      </c>
      <c r="G82" s="83" t="s">
        <v>90</v>
      </c>
      <c r="H82" s="158" t="s">
        <v>188</v>
      </c>
      <c r="I82" s="158" t="s">
        <v>91</v>
      </c>
      <c r="J82" s="158" t="s">
        <v>21</v>
      </c>
      <c r="K82" s="67">
        <v>600</v>
      </c>
      <c r="L82" s="31">
        <v>18</v>
      </c>
      <c r="M82" s="111" t="s">
        <v>50</v>
      </c>
      <c r="N82" s="158" t="s">
        <v>88</v>
      </c>
      <c r="O82" s="69">
        <v>56</v>
      </c>
      <c r="P82" s="31">
        <v>2.9</v>
      </c>
    </row>
    <row r="83" spans="1:16" ht="14.25" customHeight="1">
      <c r="A83" s="158" t="s">
        <v>94</v>
      </c>
      <c r="B83" s="158" t="s">
        <v>89</v>
      </c>
      <c r="C83" s="67" t="s">
        <v>108</v>
      </c>
      <c r="D83" s="155">
        <v>-51.386765581912492</v>
      </c>
      <c r="E83" s="155">
        <v>-22.122743500000002</v>
      </c>
      <c r="F83" s="158">
        <v>2013</v>
      </c>
      <c r="G83" s="83" t="s">
        <v>90</v>
      </c>
      <c r="H83" s="158" t="s">
        <v>188</v>
      </c>
      <c r="I83" s="158" t="s">
        <v>91</v>
      </c>
      <c r="J83" s="158" t="s">
        <v>21</v>
      </c>
      <c r="K83" s="285">
        <v>600</v>
      </c>
      <c r="L83" s="31">
        <v>18</v>
      </c>
      <c r="M83" s="111" t="s">
        <v>50</v>
      </c>
      <c r="N83" s="158" t="s">
        <v>88</v>
      </c>
      <c r="O83" s="284">
        <v>44.475000000000001</v>
      </c>
      <c r="P83" s="31">
        <v>21.9</v>
      </c>
    </row>
    <row r="84" spans="1:16" ht="14.25" customHeight="1">
      <c r="A84" s="158" t="s">
        <v>94</v>
      </c>
      <c r="B84" s="158" t="s">
        <v>89</v>
      </c>
      <c r="C84" s="67" t="s">
        <v>109</v>
      </c>
      <c r="D84" s="155">
        <v>-47.805475915541528</v>
      </c>
      <c r="E84" s="155">
        <v>-21.184834500000004</v>
      </c>
      <c r="F84" s="158">
        <v>2013</v>
      </c>
      <c r="G84" s="83" t="s">
        <v>90</v>
      </c>
      <c r="H84" s="158" t="s">
        <v>188</v>
      </c>
      <c r="I84" s="158" t="s">
        <v>91</v>
      </c>
      <c r="J84" s="158" t="s">
        <v>21</v>
      </c>
      <c r="K84" s="285">
        <v>600</v>
      </c>
      <c r="L84" s="31">
        <v>18</v>
      </c>
      <c r="M84" s="111" t="s">
        <v>50</v>
      </c>
      <c r="N84" s="158" t="s">
        <v>88</v>
      </c>
      <c r="O84" s="284">
        <v>46.5</v>
      </c>
      <c r="P84" s="31">
        <v>21</v>
      </c>
    </row>
    <row r="85" spans="1:16" ht="14.25" customHeight="1">
      <c r="A85" s="158" t="s">
        <v>94</v>
      </c>
      <c r="B85" s="158" t="s">
        <v>89</v>
      </c>
      <c r="C85" s="67" t="s">
        <v>110</v>
      </c>
      <c r="D85" s="155">
        <v>-46.331370849190684</v>
      </c>
      <c r="E85" s="155">
        <v>-23.933737500000003</v>
      </c>
      <c r="F85" s="158">
        <v>2013</v>
      </c>
      <c r="G85" s="83" t="s">
        <v>90</v>
      </c>
      <c r="H85" s="158" t="s">
        <v>188</v>
      </c>
      <c r="I85" s="158" t="s">
        <v>91</v>
      </c>
      <c r="J85" s="158" t="s">
        <v>21</v>
      </c>
      <c r="K85" s="285">
        <v>600</v>
      </c>
      <c r="L85" s="31">
        <v>18</v>
      </c>
      <c r="M85" s="111" t="s">
        <v>50</v>
      </c>
      <c r="N85" s="158" t="s">
        <v>88</v>
      </c>
      <c r="O85" s="284">
        <v>36.75</v>
      </c>
      <c r="P85" s="31">
        <v>8.6999999999999993</v>
      </c>
    </row>
    <row r="86" spans="1:16" ht="14.25" customHeight="1">
      <c r="A86" s="158" t="s">
        <v>94</v>
      </c>
      <c r="B86" s="158" t="s">
        <v>89</v>
      </c>
      <c r="C86" s="67" t="s">
        <v>131</v>
      </c>
      <c r="D86" s="155">
        <v>-49.381347685025794</v>
      </c>
      <c r="E86" s="155">
        <v>-20.812636500000004</v>
      </c>
      <c r="F86" s="158">
        <v>2013</v>
      </c>
      <c r="G86" s="83" t="s">
        <v>90</v>
      </c>
      <c r="H86" s="158" t="s">
        <v>188</v>
      </c>
      <c r="I86" s="158" t="s">
        <v>91</v>
      </c>
      <c r="J86" s="158" t="s">
        <v>21</v>
      </c>
      <c r="K86" s="285">
        <v>600</v>
      </c>
      <c r="L86" s="31">
        <v>18</v>
      </c>
      <c r="M86" s="111" t="s">
        <v>50</v>
      </c>
      <c r="N86" s="158" t="s">
        <v>88</v>
      </c>
      <c r="O86" s="284">
        <v>36.25</v>
      </c>
      <c r="P86" s="31">
        <v>12.3</v>
      </c>
    </row>
    <row r="87" spans="1:16" ht="14.25" customHeight="1">
      <c r="A87" s="158" t="s">
        <v>94</v>
      </c>
      <c r="B87" s="158" t="s">
        <v>89</v>
      </c>
      <c r="C87" s="67" t="s">
        <v>113</v>
      </c>
      <c r="D87" s="127">
        <v>-45.402680140543957</v>
      </c>
      <c r="E87" s="127">
        <v>-23.806687652148753</v>
      </c>
      <c r="F87" s="158">
        <v>2013</v>
      </c>
      <c r="G87" s="83" t="s">
        <v>90</v>
      </c>
      <c r="H87" s="158" t="s">
        <v>188</v>
      </c>
      <c r="I87" s="158" t="s">
        <v>91</v>
      </c>
      <c r="J87" s="158" t="s">
        <v>21</v>
      </c>
      <c r="K87" s="67">
        <v>600</v>
      </c>
      <c r="L87" s="31">
        <v>18</v>
      </c>
      <c r="M87" s="111" t="s">
        <v>50</v>
      </c>
      <c r="N87" s="158" t="s">
        <v>88</v>
      </c>
      <c r="O87" s="69">
        <v>33.975000000000001</v>
      </c>
      <c r="P87" s="31">
        <v>10.1</v>
      </c>
    </row>
    <row r="88" spans="1:16" ht="14.25" customHeight="1">
      <c r="A88" s="158" t="s">
        <v>94</v>
      </c>
      <c r="B88" s="158" t="s">
        <v>89</v>
      </c>
      <c r="C88" s="67" t="s">
        <v>114</v>
      </c>
      <c r="D88" s="155">
        <v>-47.457853253204043</v>
      </c>
      <c r="E88" s="155">
        <v>-23.499323</v>
      </c>
      <c r="F88" s="158">
        <v>2013</v>
      </c>
      <c r="G88" s="83" t="s">
        <v>90</v>
      </c>
      <c r="H88" s="158" t="s">
        <v>188</v>
      </c>
      <c r="I88" s="158" t="s">
        <v>91</v>
      </c>
      <c r="J88" s="158" t="s">
        <v>21</v>
      </c>
      <c r="K88" s="67">
        <v>600</v>
      </c>
      <c r="L88" s="31">
        <v>18</v>
      </c>
      <c r="M88" s="111" t="s">
        <v>50</v>
      </c>
      <c r="N88" s="158" t="s">
        <v>88</v>
      </c>
      <c r="O88" s="69">
        <v>82.025000000000006</v>
      </c>
      <c r="P88" s="31">
        <v>14.7</v>
      </c>
    </row>
    <row r="89" spans="1:16" ht="14.25" customHeight="1">
      <c r="A89" s="158" t="s">
        <v>94</v>
      </c>
      <c r="B89" s="158" t="s">
        <v>89</v>
      </c>
      <c r="C89" s="67" t="s">
        <v>172</v>
      </c>
      <c r="D89" s="155">
        <v>-40.503552159443394</v>
      </c>
      <c r="E89" s="155">
        <v>-9.4107170962278648</v>
      </c>
      <c r="F89" s="158">
        <v>2013</v>
      </c>
      <c r="G89" s="83" t="s">
        <v>90</v>
      </c>
      <c r="H89" s="158" t="s">
        <v>188</v>
      </c>
      <c r="I89" s="158" t="s">
        <v>91</v>
      </c>
      <c r="J89" s="158" t="s">
        <v>21</v>
      </c>
      <c r="K89" s="71">
        <v>600</v>
      </c>
      <c r="L89" s="31">
        <v>18</v>
      </c>
      <c r="M89" s="111" t="s">
        <v>50</v>
      </c>
      <c r="N89" s="158" t="s">
        <v>88</v>
      </c>
      <c r="O89" s="69">
        <v>87.75</v>
      </c>
      <c r="P89" s="10">
        <v>6.1</v>
      </c>
    </row>
    <row r="90" spans="1:16" ht="14.25" customHeight="1">
      <c r="A90" s="158" t="s">
        <v>94</v>
      </c>
      <c r="B90" s="158" t="s">
        <v>89</v>
      </c>
      <c r="C90" s="67" t="s">
        <v>173</v>
      </c>
      <c r="D90" s="155">
        <v>-40.513017627870106</v>
      </c>
      <c r="E90" s="155">
        <v>-11.185062160141854</v>
      </c>
      <c r="F90" s="158">
        <v>2013</v>
      </c>
      <c r="G90" s="83" t="s">
        <v>90</v>
      </c>
      <c r="H90" s="158" t="s">
        <v>188</v>
      </c>
      <c r="I90" s="158" t="s">
        <v>91</v>
      </c>
      <c r="J90" s="158" t="s">
        <v>21</v>
      </c>
      <c r="K90" s="71">
        <v>600</v>
      </c>
      <c r="L90" s="31">
        <v>18</v>
      </c>
      <c r="M90" s="111" t="s">
        <v>50</v>
      </c>
      <c r="N90" s="158" t="s">
        <v>88</v>
      </c>
      <c r="O90" s="69">
        <v>72.724999999999994</v>
      </c>
      <c r="P90" s="10">
        <v>14.6</v>
      </c>
    </row>
    <row r="91" spans="1:16" ht="14.25" customHeight="1">
      <c r="A91" s="158" t="s">
        <v>94</v>
      </c>
      <c r="B91" s="158" t="s">
        <v>89</v>
      </c>
      <c r="C91" s="67" t="s">
        <v>122</v>
      </c>
      <c r="D91" s="155">
        <v>-39.273108952008137</v>
      </c>
      <c r="E91" s="155">
        <v>-14.789039548603002</v>
      </c>
      <c r="F91" s="158">
        <v>2013</v>
      </c>
      <c r="G91" s="83" t="s">
        <v>90</v>
      </c>
      <c r="H91" s="158" t="s">
        <v>188</v>
      </c>
      <c r="I91" s="158" t="s">
        <v>91</v>
      </c>
      <c r="J91" s="158" t="s">
        <v>21</v>
      </c>
      <c r="K91" s="71">
        <v>600</v>
      </c>
      <c r="L91" s="31">
        <v>18</v>
      </c>
      <c r="M91" s="111" t="s">
        <v>50</v>
      </c>
      <c r="N91" s="158" t="s">
        <v>88</v>
      </c>
      <c r="O91" s="69">
        <v>65.2</v>
      </c>
      <c r="P91" s="10">
        <v>15.5</v>
      </c>
    </row>
    <row r="92" spans="1:16" ht="14.25" customHeight="1">
      <c r="A92" s="158" t="s">
        <v>94</v>
      </c>
      <c r="B92" s="158" t="s">
        <v>89</v>
      </c>
      <c r="C92" s="67" t="s">
        <v>184</v>
      </c>
      <c r="D92" s="155">
        <v>-49.255814275815766</v>
      </c>
      <c r="E92" s="155">
        <v>-16.673309773838948</v>
      </c>
      <c r="F92" s="158">
        <v>2013</v>
      </c>
      <c r="G92" s="83" t="s">
        <v>90</v>
      </c>
      <c r="H92" s="158" t="s">
        <v>188</v>
      </c>
      <c r="I92" s="158" t="s">
        <v>91</v>
      </c>
      <c r="J92" s="158" t="s">
        <v>21</v>
      </c>
      <c r="K92" s="71">
        <v>600</v>
      </c>
      <c r="L92" s="31">
        <v>18</v>
      </c>
      <c r="M92" s="111" t="s">
        <v>50</v>
      </c>
      <c r="N92" s="158" t="s">
        <v>88</v>
      </c>
      <c r="O92" s="69">
        <v>23.75</v>
      </c>
      <c r="P92" s="10">
        <v>9.696906723280371</v>
      </c>
    </row>
    <row r="93" spans="1:16" ht="14.25" customHeight="1">
      <c r="A93" s="158" t="s">
        <v>94</v>
      </c>
      <c r="B93" s="158" t="s">
        <v>89</v>
      </c>
      <c r="C93" s="67" t="s">
        <v>185</v>
      </c>
      <c r="D93" s="155">
        <v>-43.926453173530454</v>
      </c>
      <c r="E93" s="155">
        <v>-19.937524293775052</v>
      </c>
      <c r="F93" s="158">
        <v>2013</v>
      </c>
      <c r="G93" s="83" t="s">
        <v>90</v>
      </c>
      <c r="H93" s="158" t="s">
        <v>188</v>
      </c>
      <c r="I93" s="158" t="s">
        <v>91</v>
      </c>
      <c r="J93" s="158" t="s">
        <v>21</v>
      </c>
      <c r="K93" s="71">
        <v>600</v>
      </c>
      <c r="L93" s="31">
        <v>18</v>
      </c>
      <c r="M93" s="111" t="s">
        <v>50</v>
      </c>
      <c r="N93" s="158" t="s">
        <v>88</v>
      </c>
      <c r="O93" s="69">
        <v>45</v>
      </c>
      <c r="P93" s="10">
        <v>19.146453109301127</v>
      </c>
    </row>
    <row r="94" spans="1:16" ht="14.25" customHeight="1">
      <c r="A94" s="158" t="s">
        <v>94</v>
      </c>
      <c r="B94" s="158" t="s">
        <v>89</v>
      </c>
      <c r="C94" s="67" t="s">
        <v>120</v>
      </c>
      <c r="D94" s="155">
        <v>-42.805270458223347</v>
      </c>
      <c r="E94" s="155">
        <v>-5.0863419523217006</v>
      </c>
      <c r="F94" s="158">
        <v>2013</v>
      </c>
      <c r="G94" s="83" t="s">
        <v>90</v>
      </c>
      <c r="H94" s="158" t="s">
        <v>188</v>
      </c>
      <c r="I94" s="158" t="s">
        <v>91</v>
      </c>
      <c r="J94" s="158" t="s">
        <v>21</v>
      </c>
      <c r="K94" s="71">
        <v>600</v>
      </c>
      <c r="L94" s="31">
        <v>18</v>
      </c>
      <c r="M94" s="111" t="s">
        <v>50</v>
      </c>
      <c r="N94" s="158" t="s">
        <v>88</v>
      </c>
      <c r="O94" s="69">
        <v>86.474999999999994</v>
      </c>
      <c r="P94" s="10">
        <v>5.6576644179967639</v>
      </c>
    </row>
    <row r="95" spans="1:16" ht="14.25" customHeight="1" thickBot="1">
      <c r="A95" s="11" t="s">
        <v>94</v>
      </c>
      <c r="B95" s="11" t="s">
        <v>89</v>
      </c>
      <c r="C95" s="68" t="s">
        <v>171</v>
      </c>
      <c r="D95" s="156">
        <v>-35.252254728054304</v>
      </c>
      <c r="E95" s="156">
        <v>-5.7508985376120609</v>
      </c>
      <c r="F95" s="11">
        <v>2013</v>
      </c>
      <c r="G95" s="98" t="s">
        <v>90</v>
      </c>
      <c r="H95" s="11" t="s">
        <v>188</v>
      </c>
      <c r="I95" s="11" t="s">
        <v>91</v>
      </c>
      <c r="J95" s="11" t="s">
        <v>21</v>
      </c>
      <c r="K95" s="72">
        <v>600</v>
      </c>
      <c r="L95" s="30">
        <v>18</v>
      </c>
      <c r="M95" s="114" t="s">
        <v>50</v>
      </c>
      <c r="N95" s="11" t="s">
        <v>88</v>
      </c>
      <c r="O95" s="70">
        <v>71.025000000000006</v>
      </c>
      <c r="P95" s="30">
        <v>13.59003924448586</v>
      </c>
    </row>
    <row r="96" spans="1:16" ht="14.25" customHeight="1">
      <c r="A96" s="158" t="s">
        <v>94</v>
      </c>
      <c r="B96" s="158" t="s">
        <v>89</v>
      </c>
      <c r="C96" s="8" t="s">
        <v>124</v>
      </c>
      <c r="D96" s="261"/>
      <c r="E96" s="262"/>
      <c r="F96" s="34">
        <v>2013</v>
      </c>
      <c r="G96" s="99" t="s">
        <v>90</v>
      </c>
      <c r="H96" s="158" t="s">
        <v>188</v>
      </c>
      <c r="I96" s="34" t="s">
        <v>91</v>
      </c>
      <c r="J96" s="34" t="s">
        <v>22</v>
      </c>
      <c r="K96" s="27">
        <v>450</v>
      </c>
      <c r="L96" s="31">
        <v>18.25</v>
      </c>
      <c r="M96" s="111" t="s">
        <v>50</v>
      </c>
      <c r="N96" s="158" t="s">
        <v>88</v>
      </c>
      <c r="O96" s="27">
        <v>100</v>
      </c>
      <c r="P96" s="31">
        <v>0</v>
      </c>
    </row>
    <row r="97" spans="1:20" ht="14.25" customHeight="1">
      <c r="A97" s="158" t="s">
        <v>94</v>
      </c>
      <c r="B97" s="158" t="s">
        <v>89</v>
      </c>
      <c r="C97" s="67" t="s">
        <v>184</v>
      </c>
      <c r="D97" s="155">
        <v>-49.255814275815766</v>
      </c>
      <c r="E97" s="155">
        <v>-16.673309773838948</v>
      </c>
      <c r="F97" s="158">
        <v>2013</v>
      </c>
      <c r="G97" s="83" t="s">
        <v>90</v>
      </c>
      <c r="H97" s="158" t="s">
        <v>188</v>
      </c>
      <c r="I97" s="158" t="s">
        <v>91</v>
      </c>
      <c r="J97" s="158" t="s">
        <v>22</v>
      </c>
      <c r="K97" s="71">
        <v>600</v>
      </c>
      <c r="L97" s="10">
        <v>36.5</v>
      </c>
      <c r="M97" s="111" t="s">
        <v>50</v>
      </c>
      <c r="N97" s="158" t="s">
        <v>88</v>
      </c>
      <c r="O97" s="69">
        <v>19.425000000000001</v>
      </c>
      <c r="P97" s="31">
        <v>4.9607627101753842</v>
      </c>
    </row>
    <row r="98" spans="1:20" ht="14.25" customHeight="1" thickBot="1">
      <c r="A98" s="11" t="s">
        <v>94</v>
      </c>
      <c r="B98" s="11" t="s">
        <v>89</v>
      </c>
      <c r="C98" s="68" t="s">
        <v>185</v>
      </c>
      <c r="D98" s="156">
        <v>-43.926453173530454</v>
      </c>
      <c r="E98" s="156">
        <v>-19.937524293775052</v>
      </c>
      <c r="F98" s="11">
        <v>2013</v>
      </c>
      <c r="G98" s="98" t="s">
        <v>90</v>
      </c>
      <c r="H98" s="11" t="s">
        <v>188</v>
      </c>
      <c r="I98" s="11" t="s">
        <v>91</v>
      </c>
      <c r="J98" s="11" t="s">
        <v>22</v>
      </c>
      <c r="K98" s="72">
        <v>600</v>
      </c>
      <c r="L98" s="30">
        <v>36.5</v>
      </c>
      <c r="M98" s="114" t="s">
        <v>50</v>
      </c>
      <c r="N98" s="11" t="s">
        <v>88</v>
      </c>
      <c r="O98" s="70">
        <v>52.75</v>
      </c>
      <c r="P98" s="30">
        <v>9.2464407566731648</v>
      </c>
    </row>
    <row r="100" spans="1:20" ht="14.25" customHeight="1">
      <c r="T100" s="255"/>
    </row>
    <row r="101" spans="1:20" ht="14.25" customHeight="1">
      <c r="C101" s="2"/>
      <c r="D101" s="2"/>
      <c r="E101" s="2"/>
      <c r="T101" s="255"/>
    </row>
    <row r="102" spans="1:20" ht="14.25" customHeight="1">
      <c r="C102" s="2"/>
      <c r="D102" s="2"/>
      <c r="E102" s="2"/>
      <c r="T102" s="255"/>
    </row>
    <row r="103" spans="1:20" ht="14.25" customHeight="1">
      <c r="C103" s="2"/>
      <c r="D103" s="2"/>
      <c r="E103" s="2"/>
      <c r="K103" s="27" t="s">
        <v>99</v>
      </c>
      <c r="T103" s="255"/>
    </row>
    <row r="104" spans="1:20" ht="14.25" customHeight="1">
      <c r="C104" s="2"/>
      <c r="D104" s="2"/>
      <c r="E104" s="2"/>
      <c r="T104" s="255"/>
    </row>
    <row r="105" spans="1:20" ht="14.25" customHeight="1">
      <c r="C105" s="2"/>
      <c r="D105" s="2"/>
      <c r="E105" s="2"/>
      <c r="T105" s="255"/>
    </row>
    <row r="106" spans="1:20" ht="14.25" customHeight="1">
      <c r="C106" s="2"/>
      <c r="D106" s="2"/>
      <c r="E106" s="2"/>
      <c r="T106" s="255"/>
    </row>
    <row r="107" spans="1:20" ht="14.25" customHeight="1">
      <c r="C107" s="2"/>
      <c r="D107" s="2"/>
      <c r="E107" s="2"/>
      <c r="T107" s="255"/>
    </row>
    <row r="108" spans="1:20" ht="14.25" customHeight="1">
      <c r="C108" s="2"/>
      <c r="D108" s="2"/>
      <c r="E108" s="2"/>
      <c r="T108" s="255"/>
    </row>
    <row r="109" spans="1:20" ht="14.25" customHeight="1">
      <c r="C109" s="2"/>
      <c r="D109" s="2"/>
      <c r="E109" s="2"/>
      <c r="T109" s="255"/>
    </row>
    <row r="110" spans="1:20" ht="14.25" customHeight="1">
      <c r="C110" s="2"/>
      <c r="D110" s="2"/>
      <c r="E110" s="2"/>
      <c r="T110" s="255"/>
    </row>
    <row r="111" spans="1:20" ht="14.25" customHeight="1">
      <c r="C111" s="2"/>
      <c r="D111" s="2"/>
      <c r="E111" s="2"/>
      <c r="T111" s="255"/>
    </row>
    <row r="112" spans="1:20" ht="14.25" customHeight="1">
      <c r="C112" s="2"/>
      <c r="D112" s="2"/>
      <c r="E112" s="2"/>
      <c r="T112" s="255"/>
    </row>
    <row r="113" spans="3:20" ht="14.25" customHeight="1">
      <c r="C113" s="2"/>
      <c r="D113" s="2"/>
      <c r="E113" s="2"/>
      <c r="T113" s="255"/>
    </row>
    <row r="114" spans="3:20" ht="14.25" customHeight="1">
      <c r="C114" s="2"/>
      <c r="D114" s="2"/>
      <c r="E114" s="2"/>
      <c r="T114" s="255"/>
    </row>
    <row r="115" spans="3:20" ht="14.25" customHeight="1">
      <c r="C115" s="2"/>
      <c r="D115" s="2"/>
      <c r="E115" s="2"/>
      <c r="T115" s="255"/>
    </row>
    <row r="116" spans="3:20" ht="14.25" customHeight="1">
      <c r="C116" s="2"/>
      <c r="D116" s="2"/>
      <c r="E116" s="2"/>
      <c r="T116" s="255"/>
    </row>
    <row r="117" spans="3:20" ht="14.25" customHeight="1">
      <c r="C117" s="2"/>
      <c r="D117" s="2"/>
      <c r="E117" s="2"/>
      <c r="T117" s="255"/>
    </row>
    <row r="118" spans="3:20" ht="14.25" customHeight="1">
      <c r="C118" s="2"/>
      <c r="D118" s="2"/>
      <c r="E118" s="2"/>
      <c r="T118" s="255"/>
    </row>
    <row r="119" spans="3:20" ht="14.25" customHeight="1">
      <c r="C119" s="2"/>
      <c r="T119" s="255"/>
    </row>
    <row r="120" spans="3:20" ht="14.25" customHeight="1">
      <c r="C120" s="2"/>
      <c r="T120" s="255"/>
    </row>
    <row r="121" spans="3:20" ht="14.25" customHeight="1">
      <c r="C121" s="2"/>
      <c r="T121" s="255"/>
    </row>
    <row r="122" spans="3:20" ht="14.25" customHeight="1">
      <c r="T122" s="255"/>
    </row>
    <row r="123" spans="3:20" ht="14.25" customHeight="1">
      <c r="T123" s="255"/>
    </row>
    <row r="124" spans="3:20" ht="14.25" customHeight="1">
      <c r="T124" s="255"/>
    </row>
    <row r="125" spans="3:20" ht="14.25" customHeight="1">
      <c r="T125" s="255"/>
    </row>
    <row r="126" spans="3:20" ht="14.25" customHeight="1">
      <c r="T126" s="255"/>
    </row>
    <row r="127" spans="3:20" ht="14.25" customHeight="1">
      <c r="T127" s="255"/>
    </row>
    <row r="128" spans="3:20" ht="14.25" customHeight="1">
      <c r="T128" s="255"/>
    </row>
    <row r="129" spans="20:20" ht="14.25" customHeight="1">
      <c r="T129" s="255"/>
    </row>
    <row r="130" spans="20:20" ht="14.25" customHeight="1">
      <c r="T130" s="255"/>
    </row>
    <row r="131" spans="20:20" ht="14.25" customHeight="1">
      <c r="T131" s="255"/>
    </row>
    <row r="132" spans="20:20" ht="14.25" customHeight="1">
      <c r="T132" s="255"/>
    </row>
    <row r="133" spans="20:20" ht="14.25" customHeight="1">
      <c r="T133" s="255"/>
    </row>
    <row r="134" spans="20:20" ht="14.25" customHeight="1">
      <c r="T134" s="255"/>
    </row>
    <row r="135" spans="20:20" ht="14.25" customHeight="1">
      <c r="T135" s="255"/>
    </row>
    <row r="136" spans="20:20" ht="14.25" customHeight="1">
      <c r="T136" s="255"/>
    </row>
    <row r="137" spans="20:20" ht="14.25" customHeight="1">
      <c r="T137" s="255"/>
    </row>
    <row r="138" spans="20:20" ht="14.25" customHeight="1">
      <c r="T138" s="255"/>
    </row>
    <row r="139" spans="20:20" ht="14.25" customHeight="1">
      <c r="T139" s="255"/>
    </row>
    <row r="140" spans="20:20" ht="14.25" customHeight="1">
      <c r="T140" s="255"/>
    </row>
    <row r="141" spans="20:20" ht="14.25" customHeight="1">
      <c r="T141" s="255"/>
    </row>
    <row r="142" spans="20:20" ht="14.25" customHeight="1">
      <c r="T142" s="255"/>
    </row>
    <row r="143" spans="20:20" ht="14.25" customHeight="1">
      <c r="T143" s="255"/>
    </row>
    <row r="144" spans="20:20" ht="14.25" customHeight="1">
      <c r="T144" s="255"/>
    </row>
    <row r="145" spans="20:20" ht="14.25" customHeight="1">
      <c r="T145" s="255"/>
    </row>
    <row r="146" spans="20:20" ht="14.25" customHeight="1">
      <c r="T146" s="255"/>
    </row>
    <row r="147" spans="20:20" ht="14.25" customHeight="1">
      <c r="T147" s="255"/>
    </row>
    <row r="148" spans="20:20" ht="14.25" customHeight="1">
      <c r="T148" s="255"/>
    </row>
    <row r="149" spans="20:20" ht="14.25" customHeight="1">
      <c r="T149" s="255"/>
    </row>
    <row r="150" spans="20:20" ht="14.25" customHeight="1">
      <c r="T150" s="255"/>
    </row>
    <row r="151" spans="20:20" ht="14.25" customHeight="1">
      <c r="T151" s="255"/>
    </row>
    <row r="152" spans="20:20" ht="14.25" customHeight="1">
      <c r="T152" s="255"/>
    </row>
    <row r="153" spans="20:20" ht="14.25" customHeight="1">
      <c r="T153" s="255"/>
    </row>
    <row r="154" spans="20:20" ht="14.25" customHeight="1">
      <c r="T154" s="255"/>
    </row>
    <row r="155" spans="20:20" ht="14.25" customHeight="1">
      <c r="T155" s="255"/>
    </row>
    <row r="156" spans="20:20" ht="14.25" customHeight="1">
      <c r="T156" s="255"/>
    </row>
    <row r="157" spans="20:20" ht="14.25" customHeight="1">
      <c r="T157" s="255"/>
    </row>
    <row r="158" spans="20:20" ht="14.25" customHeight="1">
      <c r="T158" s="255"/>
    </row>
    <row r="159" spans="20:20" ht="14.25" customHeight="1">
      <c r="T159" s="255"/>
    </row>
    <row r="160" spans="20:20" ht="14.25" customHeight="1">
      <c r="T160" s="255"/>
    </row>
    <row r="161" spans="20:20" ht="14.25" customHeight="1">
      <c r="T161" s="255"/>
    </row>
    <row r="162" spans="20:20" ht="14.25" customHeight="1">
      <c r="T162" s="255"/>
    </row>
    <row r="163" spans="20:20" ht="14.25" customHeight="1">
      <c r="T163" s="255"/>
    </row>
    <row r="164" spans="20:20" ht="14.25" customHeight="1">
      <c r="T164" s="255"/>
    </row>
    <row r="165" spans="20:20" ht="14.25" customHeight="1">
      <c r="T165" s="255"/>
    </row>
    <row r="166" spans="20:20" ht="14.25" customHeight="1">
      <c r="T166" s="255"/>
    </row>
    <row r="167" spans="20:20" ht="14.25" customHeight="1">
      <c r="T167" s="255"/>
    </row>
    <row r="168" spans="20:20" ht="14.25" customHeight="1">
      <c r="T168" s="255"/>
    </row>
    <row r="169" spans="20:20" ht="14.25" customHeight="1">
      <c r="T169" s="255"/>
    </row>
    <row r="170" spans="20:20" ht="14.25" customHeight="1">
      <c r="T170" s="255"/>
    </row>
    <row r="171" spans="20:20" ht="14.25" customHeight="1">
      <c r="T171" s="255"/>
    </row>
    <row r="172" spans="20:20" ht="14.25" customHeight="1">
      <c r="T172" s="255"/>
    </row>
    <row r="173" spans="20:20" ht="14.25" customHeight="1">
      <c r="T173" s="255"/>
    </row>
    <row r="174" spans="20:20" ht="14.25" customHeight="1">
      <c r="T174" s="255"/>
    </row>
    <row r="175" spans="20:20" ht="14.25" customHeight="1">
      <c r="T175" s="255"/>
    </row>
    <row r="176" spans="20:20" ht="14.25" customHeight="1">
      <c r="T176" s="255"/>
    </row>
    <row r="177" spans="20:20" ht="14.25" customHeight="1">
      <c r="T177" s="255"/>
    </row>
  </sheetData>
  <sheetCalcPr fullCalcOnLoad="1"/>
  <phoneticPr fontId="48" type="noConversion"/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S85"/>
  <sheetViews>
    <sheetView topLeftCell="A31" workbookViewId="0">
      <selection activeCell="K45" sqref="K45:K47"/>
    </sheetView>
  </sheetViews>
  <sheetFormatPr baseColWidth="10" defaultColWidth="8.83203125" defaultRowHeight="15" customHeight="1"/>
  <cols>
    <col min="1" max="1" width="17.83203125" style="17" bestFit="1" customWidth="1"/>
    <col min="2" max="2" width="7" style="18" bestFit="1" customWidth="1"/>
    <col min="3" max="3" width="20" style="18" bestFit="1" customWidth="1"/>
    <col min="4" max="4" width="13.1640625" style="18" bestFit="1" customWidth="1"/>
    <col min="5" max="5" width="14.6640625" style="18" bestFit="1" customWidth="1"/>
    <col min="6" max="7" width="12.6640625" style="18" customWidth="1"/>
    <col min="8" max="8" width="15.5" style="18" bestFit="1" customWidth="1"/>
    <col min="9" max="9" width="17.5" style="18" customWidth="1"/>
    <col min="10" max="10" width="11.5" style="18" customWidth="1"/>
    <col min="11" max="11" width="13.5" style="18" bestFit="1" customWidth="1"/>
    <col min="12" max="12" width="12" style="18" customWidth="1"/>
    <col min="13" max="13" width="9.33203125" style="18" bestFit="1" customWidth="1"/>
    <col min="14" max="14" width="7.6640625" style="18" bestFit="1" customWidth="1"/>
    <col min="15" max="15" width="14.1640625" style="18" customWidth="1"/>
    <col min="16" max="16" width="14.5" style="18" bestFit="1" customWidth="1"/>
    <col min="17" max="17" width="6.5" style="18" bestFit="1" customWidth="1"/>
    <col min="18" max="18" width="9.1640625" style="18" customWidth="1"/>
    <col min="19" max="19" width="9.5" style="18" bestFit="1" customWidth="1"/>
    <col min="20" max="16384" width="8.83203125" style="214"/>
  </cols>
  <sheetData>
    <row r="1" spans="1:19" ht="15" customHeight="1" thickBot="1">
      <c r="A1" s="21" t="s">
        <v>69</v>
      </c>
      <c r="B1" s="17" t="s">
        <v>70</v>
      </c>
      <c r="C1" s="17" t="s">
        <v>71</v>
      </c>
      <c r="D1" s="91" t="s">
        <v>190</v>
      </c>
      <c r="E1" s="17" t="s">
        <v>24</v>
      </c>
      <c r="F1" s="17" t="s">
        <v>72</v>
      </c>
      <c r="G1" s="17" t="s">
        <v>73</v>
      </c>
      <c r="H1" s="21" t="s">
        <v>74</v>
      </c>
      <c r="I1" s="17" t="s">
        <v>75</v>
      </c>
      <c r="J1" s="17" t="s">
        <v>76</v>
      </c>
      <c r="K1" s="17" t="s">
        <v>77</v>
      </c>
      <c r="L1" s="158" t="s">
        <v>78</v>
      </c>
      <c r="M1" s="158" t="s">
        <v>79</v>
      </c>
      <c r="N1" s="158" t="s">
        <v>82</v>
      </c>
      <c r="O1" s="158" t="s">
        <v>83</v>
      </c>
      <c r="P1" s="11" t="s">
        <v>84</v>
      </c>
      <c r="Q1" s="90" t="s">
        <v>85</v>
      </c>
      <c r="R1" s="90" t="s">
        <v>86</v>
      </c>
      <c r="S1" s="90" t="s">
        <v>87</v>
      </c>
    </row>
    <row r="2" spans="1:19" ht="15" customHeight="1">
      <c r="A2" s="17" t="s">
        <v>94</v>
      </c>
      <c r="B2" s="32" t="s">
        <v>89</v>
      </c>
      <c r="C2" s="35" t="s">
        <v>124</v>
      </c>
      <c r="D2" s="261"/>
      <c r="E2" s="262"/>
      <c r="F2" s="32">
        <v>2014</v>
      </c>
      <c r="G2" s="33" t="s">
        <v>90</v>
      </c>
      <c r="H2" s="18" t="s">
        <v>177</v>
      </c>
      <c r="I2" s="32" t="s">
        <v>91</v>
      </c>
      <c r="J2" s="32" t="s">
        <v>81</v>
      </c>
      <c r="K2" s="34">
        <v>1200</v>
      </c>
      <c r="L2" s="32">
        <v>1.2E-2</v>
      </c>
      <c r="M2" s="32" t="s">
        <v>80</v>
      </c>
      <c r="N2" s="32" t="s">
        <v>88</v>
      </c>
      <c r="O2" s="34">
        <v>100</v>
      </c>
      <c r="P2" s="23">
        <v>2.9999999999999992E-4</v>
      </c>
      <c r="Q2" s="4">
        <v>3.8E-3</v>
      </c>
      <c r="R2" s="4">
        <v>6.0000000000000001E-3</v>
      </c>
      <c r="S2" s="4">
        <v>7.3000000000000001E-3</v>
      </c>
    </row>
    <row r="3" spans="1:19" ht="15" customHeight="1">
      <c r="A3" s="17" t="s">
        <v>94</v>
      </c>
      <c r="B3" s="17" t="s">
        <v>89</v>
      </c>
      <c r="C3" s="17" t="s">
        <v>101</v>
      </c>
      <c r="D3" s="109">
        <v>-48.567377839455055</v>
      </c>
      <c r="E3" s="109">
        <v>-20.558455515000002</v>
      </c>
      <c r="F3" s="17">
        <v>2014</v>
      </c>
      <c r="G3" s="19" t="s">
        <v>90</v>
      </c>
      <c r="H3" s="18" t="s">
        <v>177</v>
      </c>
      <c r="I3" s="17" t="s">
        <v>91</v>
      </c>
      <c r="J3" s="17" t="s">
        <v>81</v>
      </c>
      <c r="K3" s="18">
        <v>1200</v>
      </c>
      <c r="L3" s="158">
        <v>1.2E-2</v>
      </c>
      <c r="M3" s="158" t="s">
        <v>80</v>
      </c>
      <c r="N3" s="158" t="s">
        <v>88</v>
      </c>
      <c r="O3" s="10">
        <v>66.099999999999994</v>
      </c>
      <c r="P3" s="23">
        <v>1E-3</v>
      </c>
      <c r="Q3" s="4">
        <v>1.2E-2</v>
      </c>
      <c r="R3" s="4">
        <v>2.5999999999999999E-2</v>
      </c>
      <c r="S3" s="4">
        <v>3.5999999999999997E-2</v>
      </c>
    </row>
    <row r="4" spans="1:19" ht="15" customHeight="1">
      <c r="A4" s="17" t="s">
        <v>94</v>
      </c>
      <c r="B4" s="17" t="s">
        <v>89</v>
      </c>
      <c r="C4" s="17" t="s">
        <v>103</v>
      </c>
      <c r="D4" s="109">
        <v>-48.441289384350434</v>
      </c>
      <c r="E4" s="109">
        <v>-22.888381500000008</v>
      </c>
      <c r="F4" s="17">
        <v>2014</v>
      </c>
      <c r="G4" s="19" t="s">
        <v>90</v>
      </c>
      <c r="H4" s="18" t="s">
        <v>177</v>
      </c>
      <c r="I4" s="17" t="s">
        <v>91</v>
      </c>
      <c r="J4" s="17" t="s">
        <v>81</v>
      </c>
      <c r="K4" s="37">
        <f>(36*20)*3</f>
        <v>2160</v>
      </c>
      <c r="L4" s="158"/>
      <c r="M4" s="158" t="s">
        <v>80</v>
      </c>
      <c r="N4" s="158" t="s">
        <v>88</v>
      </c>
      <c r="O4" s="10"/>
      <c r="P4" s="23">
        <v>1.0000000000000009E-3</v>
      </c>
      <c r="Q4" s="4">
        <v>7.7000000000000002E-3</v>
      </c>
      <c r="R4" s="4">
        <v>1.7000000000000001E-2</v>
      </c>
      <c r="S4" s="4">
        <v>2.3E-2</v>
      </c>
    </row>
    <row r="5" spans="1:19" ht="15" customHeight="1">
      <c r="A5" s="17" t="s">
        <v>94</v>
      </c>
      <c r="B5" s="17" t="s">
        <v>89</v>
      </c>
      <c r="C5" s="17" t="s">
        <v>106</v>
      </c>
      <c r="D5" s="109">
        <v>-46.933372863488053</v>
      </c>
      <c r="E5" s="109">
        <v>-23.546934000000004</v>
      </c>
      <c r="F5" s="17">
        <v>2014</v>
      </c>
      <c r="G5" s="19" t="s">
        <v>90</v>
      </c>
      <c r="H5" s="18" t="s">
        <v>177</v>
      </c>
      <c r="I5" s="17" t="s">
        <v>91</v>
      </c>
      <c r="J5" s="17" t="s">
        <v>81</v>
      </c>
      <c r="K5" s="27">
        <v>1200</v>
      </c>
      <c r="L5" s="158">
        <v>1.2E-2</v>
      </c>
      <c r="M5" s="158" t="s">
        <v>80</v>
      </c>
      <c r="N5" s="158" t="s">
        <v>88</v>
      </c>
      <c r="O5" s="10">
        <v>66.902789367570421</v>
      </c>
      <c r="P5" s="23">
        <v>1.9999999999999983E-3</v>
      </c>
      <c r="Q5" s="4">
        <v>1.0999999999999999E-2</v>
      </c>
      <c r="R5" s="4">
        <v>2.7E-2</v>
      </c>
      <c r="S5" s="4">
        <v>3.9E-2</v>
      </c>
    </row>
    <row r="6" spans="1:19" ht="15" customHeight="1" thickBot="1">
      <c r="A6" s="21" t="s">
        <v>94</v>
      </c>
      <c r="B6" s="21" t="s">
        <v>89</v>
      </c>
      <c r="C6" s="21" t="s">
        <v>127</v>
      </c>
      <c r="D6" s="110">
        <v>-46.922092505649722</v>
      </c>
      <c r="E6" s="110">
        <v>-23.449453000000005</v>
      </c>
      <c r="F6" s="21">
        <v>2014</v>
      </c>
      <c r="G6" s="22" t="s">
        <v>90</v>
      </c>
      <c r="H6" s="21" t="s">
        <v>177</v>
      </c>
      <c r="I6" s="21" t="s">
        <v>91</v>
      </c>
      <c r="J6" s="21" t="s">
        <v>81</v>
      </c>
      <c r="K6" s="11">
        <v>1500</v>
      </c>
      <c r="L6" s="11">
        <v>1.2E-2</v>
      </c>
      <c r="M6" s="11" t="s">
        <v>80</v>
      </c>
      <c r="N6" s="11" t="s">
        <v>88</v>
      </c>
      <c r="O6" s="30">
        <v>62.816175537928665</v>
      </c>
      <c r="P6" s="29">
        <v>9.9999999999999742E-4</v>
      </c>
      <c r="Q6" s="29">
        <v>1.2500000000000001E-2</v>
      </c>
      <c r="R6" s="29">
        <v>2.1999999999999999E-2</v>
      </c>
      <c r="S6" s="29">
        <v>2.8000000000000001E-2</v>
      </c>
    </row>
    <row r="7" spans="1:19" ht="15" customHeight="1">
      <c r="A7" s="17" t="s">
        <v>94</v>
      </c>
      <c r="B7" s="32" t="s">
        <v>89</v>
      </c>
      <c r="C7" s="35" t="s">
        <v>124</v>
      </c>
      <c r="D7" s="261"/>
      <c r="E7" s="262"/>
      <c r="F7" s="17">
        <v>2014</v>
      </c>
      <c r="G7" s="33" t="s">
        <v>90</v>
      </c>
      <c r="H7" s="17" t="s">
        <v>177</v>
      </c>
      <c r="I7" s="32" t="s">
        <v>91</v>
      </c>
      <c r="J7" s="34" t="s">
        <v>93</v>
      </c>
      <c r="K7" s="27">
        <f>3*(36*20)</f>
        <v>2160</v>
      </c>
      <c r="L7" s="34"/>
      <c r="M7" s="34" t="s">
        <v>80</v>
      </c>
      <c r="N7" s="34" t="s">
        <v>88</v>
      </c>
      <c r="O7" s="34"/>
      <c r="P7" s="23">
        <v>6.0000000000000053E-3</v>
      </c>
      <c r="Q7" s="3">
        <v>4.1000000000000002E-2</v>
      </c>
      <c r="R7" s="3">
        <v>8.4000000000000005E-2</v>
      </c>
      <c r="S7" s="3">
        <v>0.11</v>
      </c>
    </row>
    <row r="8" spans="1:19" ht="15" customHeight="1">
      <c r="A8" s="17" t="s">
        <v>94</v>
      </c>
      <c r="B8" s="17" t="s">
        <v>89</v>
      </c>
      <c r="C8" s="158" t="s">
        <v>100</v>
      </c>
      <c r="D8" s="109">
        <v>-50.439226072752582</v>
      </c>
      <c r="E8" s="109">
        <v>-21.205476000000004</v>
      </c>
      <c r="F8" s="17">
        <v>2014</v>
      </c>
      <c r="G8" s="19" t="s">
        <v>90</v>
      </c>
      <c r="H8" s="17" t="s">
        <v>177</v>
      </c>
      <c r="I8" s="17" t="s">
        <v>91</v>
      </c>
      <c r="J8" s="158" t="s">
        <v>93</v>
      </c>
      <c r="K8" s="27">
        <f t="shared" ref="K8:K9" si="0">3*(36*20)</f>
        <v>2160</v>
      </c>
      <c r="L8" s="158"/>
      <c r="M8" s="158" t="s">
        <v>80</v>
      </c>
      <c r="N8" s="158" t="s">
        <v>88</v>
      </c>
      <c r="O8" s="38"/>
      <c r="P8" s="23">
        <v>1.0000000000000009E-2</v>
      </c>
      <c r="Q8" s="4">
        <v>0.12</v>
      </c>
      <c r="R8" s="4">
        <v>0.23</v>
      </c>
      <c r="S8" s="4">
        <v>0.31</v>
      </c>
    </row>
    <row r="9" spans="1:19" ht="15" customHeight="1" thickBot="1">
      <c r="A9" s="21" t="s">
        <v>94</v>
      </c>
      <c r="B9" s="17" t="s">
        <v>89</v>
      </c>
      <c r="C9" s="11" t="s">
        <v>101</v>
      </c>
      <c r="D9" s="110">
        <v>-48.567377839455055</v>
      </c>
      <c r="E9" s="110">
        <v>-20.558455515000002</v>
      </c>
      <c r="F9" s="21">
        <v>2014</v>
      </c>
      <c r="G9" s="19" t="s">
        <v>90</v>
      </c>
      <c r="H9" s="21" t="s">
        <v>177</v>
      </c>
      <c r="I9" s="17" t="s">
        <v>91</v>
      </c>
      <c r="J9" s="158" t="s">
        <v>93</v>
      </c>
      <c r="K9" s="11">
        <f t="shared" si="0"/>
        <v>2160</v>
      </c>
      <c r="L9" s="158"/>
      <c r="M9" s="158" t="s">
        <v>80</v>
      </c>
      <c r="N9" s="158" t="s">
        <v>88</v>
      </c>
      <c r="O9" s="30"/>
      <c r="P9" s="29">
        <v>9.9999999999999811E-3</v>
      </c>
      <c r="Q9" s="29">
        <v>8.2000000000000003E-2</v>
      </c>
      <c r="R9" s="29">
        <v>0.18</v>
      </c>
      <c r="S9" s="29">
        <v>0.25</v>
      </c>
    </row>
    <row r="10" spans="1:19" ht="15" customHeight="1">
      <c r="A10" s="17" t="s">
        <v>94</v>
      </c>
      <c r="B10" s="32" t="s">
        <v>89</v>
      </c>
      <c r="C10" s="9" t="s">
        <v>124</v>
      </c>
      <c r="D10" s="261"/>
      <c r="E10" s="262"/>
      <c r="F10" s="17">
        <v>2014</v>
      </c>
      <c r="G10" s="33" t="s">
        <v>90</v>
      </c>
      <c r="H10" s="17" t="s">
        <v>177</v>
      </c>
      <c r="I10" s="32" t="s">
        <v>91</v>
      </c>
      <c r="J10" s="34" t="s">
        <v>174</v>
      </c>
      <c r="K10" s="27">
        <f>3*(36*10)</f>
        <v>1080</v>
      </c>
      <c r="L10" s="34"/>
      <c r="M10" s="34" t="s">
        <v>80</v>
      </c>
      <c r="N10" s="34" t="s">
        <v>88</v>
      </c>
      <c r="O10" s="34"/>
      <c r="P10" s="23">
        <v>0.10000000000000009</v>
      </c>
      <c r="Q10" s="3">
        <v>1.7</v>
      </c>
      <c r="R10" s="3">
        <v>2.46</v>
      </c>
      <c r="S10" s="3">
        <v>2.86</v>
      </c>
    </row>
    <row r="11" spans="1:19" ht="15" customHeight="1">
      <c r="A11" s="17" t="s">
        <v>94</v>
      </c>
      <c r="B11" s="17" t="s">
        <v>89</v>
      </c>
      <c r="C11" s="17" t="s">
        <v>103</v>
      </c>
      <c r="D11" s="109">
        <v>-48.441289384350434</v>
      </c>
      <c r="E11" s="109">
        <v>-22.888381500000008</v>
      </c>
      <c r="F11" s="17">
        <v>2014</v>
      </c>
      <c r="G11" s="19" t="s">
        <v>90</v>
      </c>
      <c r="H11" s="17" t="s">
        <v>177</v>
      </c>
      <c r="I11" s="17" t="s">
        <v>91</v>
      </c>
      <c r="J11" s="158" t="s">
        <v>174</v>
      </c>
      <c r="K11" s="27">
        <f t="shared" ref="K11:K23" si="1">3*(36*10)</f>
        <v>1080</v>
      </c>
      <c r="L11" s="158"/>
      <c r="M11" s="158" t="s">
        <v>80</v>
      </c>
      <c r="N11" s="158" t="s">
        <v>88</v>
      </c>
      <c r="O11" s="10"/>
      <c r="P11" s="23">
        <v>0.79999999999999982</v>
      </c>
      <c r="Q11" s="4">
        <v>4.0999999999999996</v>
      </c>
      <c r="R11" s="4">
        <v>5.8</v>
      </c>
      <c r="S11" s="4">
        <v>6.6</v>
      </c>
    </row>
    <row r="12" spans="1:19" ht="15" customHeight="1">
      <c r="A12" s="17" t="s">
        <v>94</v>
      </c>
      <c r="B12" s="17" t="s">
        <v>89</v>
      </c>
      <c r="C12" s="17" t="s">
        <v>102</v>
      </c>
      <c r="D12" s="109">
        <v>-49.083000867090362</v>
      </c>
      <c r="E12" s="109">
        <v>-22.325122500000006</v>
      </c>
      <c r="F12" s="17">
        <v>2014</v>
      </c>
      <c r="G12" s="19" t="s">
        <v>90</v>
      </c>
      <c r="H12" s="17" t="s">
        <v>177</v>
      </c>
      <c r="I12" s="17" t="s">
        <v>91</v>
      </c>
      <c r="J12" s="158" t="s">
        <v>174</v>
      </c>
      <c r="K12" s="27">
        <f t="shared" si="1"/>
        <v>1080</v>
      </c>
      <c r="L12" s="158"/>
      <c r="M12" s="158" t="s">
        <v>80</v>
      </c>
      <c r="N12" s="158" t="s">
        <v>88</v>
      </c>
      <c r="O12" s="37"/>
      <c r="P12" s="23">
        <v>0.30000000000000071</v>
      </c>
      <c r="Q12" s="4">
        <v>3.64</v>
      </c>
      <c r="R12" s="4">
        <v>5.48</v>
      </c>
      <c r="S12" s="4">
        <v>6.49</v>
      </c>
    </row>
    <row r="13" spans="1:19" ht="15" customHeight="1">
      <c r="A13" s="17" t="s">
        <v>94</v>
      </c>
      <c r="B13" s="17" t="s">
        <v>89</v>
      </c>
      <c r="C13" s="17" t="s">
        <v>108</v>
      </c>
      <c r="D13" s="109">
        <v>-51.386765581912492</v>
      </c>
      <c r="E13" s="109">
        <v>-22.122743500000002</v>
      </c>
      <c r="F13" s="17">
        <v>2014</v>
      </c>
      <c r="G13" s="19" t="s">
        <v>90</v>
      </c>
      <c r="H13" s="17" t="s">
        <v>177</v>
      </c>
      <c r="I13" s="17" t="s">
        <v>91</v>
      </c>
      <c r="J13" s="158" t="s">
        <v>174</v>
      </c>
      <c r="K13" s="27">
        <f t="shared" si="1"/>
        <v>1080</v>
      </c>
      <c r="L13" s="158"/>
      <c r="M13" s="158" t="s">
        <v>80</v>
      </c>
      <c r="N13" s="158" t="s">
        <v>88</v>
      </c>
      <c r="O13" s="38"/>
      <c r="P13" s="23">
        <v>0.20000000000000018</v>
      </c>
      <c r="Q13" s="4">
        <v>3.3</v>
      </c>
      <c r="R13" s="4">
        <v>4.7</v>
      </c>
      <c r="S13" s="4">
        <v>5.5</v>
      </c>
    </row>
    <row r="14" spans="1:19" ht="15" customHeight="1">
      <c r="A14" s="17" t="s">
        <v>94</v>
      </c>
      <c r="B14" s="17" t="s">
        <v>89</v>
      </c>
      <c r="C14" s="158" t="s">
        <v>131</v>
      </c>
      <c r="D14" s="109">
        <v>-49.381347685025794</v>
      </c>
      <c r="E14" s="109">
        <v>-20.812636500000004</v>
      </c>
      <c r="F14" s="17">
        <v>2014</v>
      </c>
      <c r="G14" s="19" t="s">
        <v>90</v>
      </c>
      <c r="H14" s="17" t="s">
        <v>177</v>
      </c>
      <c r="I14" s="17" t="s">
        <v>91</v>
      </c>
      <c r="J14" s="158" t="s">
        <v>174</v>
      </c>
      <c r="K14" s="27">
        <f t="shared" si="1"/>
        <v>1080</v>
      </c>
      <c r="L14" s="158"/>
      <c r="M14" s="158" t="s">
        <v>80</v>
      </c>
      <c r="N14" s="158" t="s">
        <v>88</v>
      </c>
      <c r="O14" s="37"/>
      <c r="P14" s="23">
        <v>0.39999999999999947</v>
      </c>
      <c r="Q14" s="4">
        <v>4.5999999999999996</v>
      </c>
      <c r="R14" s="4">
        <v>6.8</v>
      </c>
      <c r="S14" s="4">
        <v>8.1</v>
      </c>
    </row>
    <row r="15" spans="1:19" ht="15" customHeight="1">
      <c r="A15" s="17" t="s">
        <v>94</v>
      </c>
      <c r="B15" s="17" t="s">
        <v>89</v>
      </c>
      <c r="C15" s="158" t="s">
        <v>101</v>
      </c>
      <c r="D15" s="109">
        <v>-48.567377839455055</v>
      </c>
      <c r="E15" s="109">
        <v>-20.558455515000002</v>
      </c>
      <c r="F15" s="17">
        <v>2014</v>
      </c>
      <c r="G15" s="19" t="s">
        <v>90</v>
      </c>
      <c r="H15" s="17" t="s">
        <v>177</v>
      </c>
      <c r="I15" s="17" t="s">
        <v>91</v>
      </c>
      <c r="J15" s="158" t="s">
        <v>174</v>
      </c>
      <c r="K15" s="27">
        <f t="shared" si="1"/>
        <v>1080</v>
      </c>
      <c r="L15" s="158"/>
      <c r="M15" s="158" t="s">
        <v>80</v>
      </c>
      <c r="N15" s="158" t="s">
        <v>88</v>
      </c>
      <c r="O15" s="37"/>
      <c r="P15" s="23">
        <v>0.58000000000000007</v>
      </c>
      <c r="Q15" s="3">
        <v>4.63</v>
      </c>
      <c r="R15" s="3">
        <v>7.84</v>
      </c>
      <c r="S15" s="3">
        <v>9.75</v>
      </c>
    </row>
    <row r="16" spans="1:19" ht="15" customHeight="1">
      <c r="A16" s="17" t="s">
        <v>94</v>
      </c>
      <c r="B16" s="17" t="s">
        <v>89</v>
      </c>
      <c r="C16" s="158" t="s">
        <v>110</v>
      </c>
      <c r="D16" s="109">
        <v>-46.331370849190684</v>
      </c>
      <c r="E16" s="109">
        <v>-23.933737500000003</v>
      </c>
      <c r="F16" s="17">
        <v>2014</v>
      </c>
      <c r="G16" s="19" t="s">
        <v>90</v>
      </c>
      <c r="H16" s="17" t="s">
        <v>177</v>
      </c>
      <c r="I16" s="17" t="s">
        <v>91</v>
      </c>
      <c r="J16" s="158" t="s">
        <v>174</v>
      </c>
      <c r="K16" s="27">
        <f t="shared" si="1"/>
        <v>1080</v>
      </c>
      <c r="L16" s="158"/>
      <c r="M16" s="158" t="s">
        <v>80</v>
      </c>
      <c r="N16" s="158" t="s">
        <v>88</v>
      </c>
      <c r="O16" s="37"/>
      <c r="P16" s="23">
        <v>0.29000000000000004</v>
      </c>
      <c r="Q16" s="4">
        <v>3.07</v>
      </c>
      <c r="R16" s="4">
        <v>5.45</v>
      </c>
      <c r="S16" s="4">
        <v>6.91</v>
      </c>
    </row>
    <row r="17" spans="1:19" ht="15" customHeight="1">
      <c r="A17" s="17" t="s">
        <v>94</v>
      </c>
      <c r="B17" s="17" t="s">
        <v>89</v>
      </c>
      <c r="C17" s="158" t="s">
        <v>100</v>
      </c>
      <c r="D17" s="109">
        <v>-50.439226072752582</v>
      </c>
      <c r="E17" s="109">
        <v>-21.205476000000004</v>
      </c>
      <c r="F17" s="17">
        <v>2014</v>
      </c>
      <c r="G17" s="19" t="s">
        <v>90</v>
      </c>
      <c r="H17" s="17" t="s">
        <v>177</v>
      </c>
      <c r="I17" s="17" t="s">
        <v>91</v>
      </c>
      <c r="J17" s="158" t="s">
        <v>174</v>
      </c>
      <c r="K17" s="27">
        <f t="shared" si="1"/>
        <v>1080</v>
      </c>
      <c r="L17" s="158"/>
      <c r="M17" s="158" t="s">
        <v>80</v>
      </c>
      <c r="N17" s="158" t="s">
        <v>88</v>
      </c>
      <c r="O17" s="37"/>
      <c r="P17" s="23">
        <v>0.40000000000000036</v>
      </c>
      <c r="Q17" s="3">
        <v>3.6</v>
      </c>
      <c r="R17" s="3">
        <v>6.4</v>
      </c>
      <c r="S17" s="3">
        <v>8.1</v>
      </c>
    </row>
    <row r="18" spans="1:19" ht="15" customHeight="1">
      <c r="A18" s="17" t="s">
        <v>94</v>
      </c>
      <c r="B18" s="17" t="s">
        <v>89</v>
      </c>
      <c r="C18" s="158" t="s">
        <v>113</v>
      </c>
      <c r="D18" s="127">
        <v>-45.402680140543957</v>
      </c>
      <c r="E18" s="127">
        <v>-23.806687652148753</v>
      </c>
      <c r="F18" s="17">
        <v>2014</v>
      </c>
      <c r="G18" s="19" t="s">
        <v>90</v>
      </c>
      <c r="H18" s="17" t="s">
        <v>177</v>
      </c>
      <c r="I18" s="17" t="s">
        <v>91</v>
      </c>
      <c r="J18" s="158" t="s">
        <v>174</v>
      </c>
      <c r="K18" s="27">
        <f t="shared" si="1"/>
        <v>1080</v>
      </c>
      <c r="L18" s="158"/>
      <c r="M18" s="158" t="s">
        <v>80</v>
      </c>
      <c r="N18" s="158" t="s">
        <v>88</v>
      </c>
      <c r="O18" s="38"/>
      <c r="P18" s="23">
        <v>0.33999999999999986</v>
      </c>
      <c r="Q18" s="3">
        <v>3.13</v>
      </c>
      <c r="R18" s="3">
        <v>5.43</v>
      </c>
      <c r="S18" s="3">
        <v>6.82</v>
      </c>
    </row>
    <row r="19" spans="1:19" ht="15" customHeight="1">
      <c r="A19" s="17" t="s">
        <v>94</v>
      </c>
      <c r="B19" s="17" t="s">
        <v>89</v>
      </c>
      <c r="C19" s="158" t="s">
        <v>104</v>
      </c>
      <c r="D19" s="109">
        <v>-47.06015627297316</v>
      </c>
      <c r="E19" s="109">
        <v>-22.907342500000002</v>
      </c>
      <c r="F19" s="17">
        <v>2014</v>
      </c>
      <c r="G19" s="19" t="s">
        <v>90</v>
      </c>
      <c r="H19" s="17" t="s">
        <v>177</v>
      </c>
      <c r="I19" s="17" t="s">
        <v>91</v>
      </c>
      <c r="J19" s="158" t="s">
        <v>174</v>
      </c>
      <c r="K19" s="27">
        <f t="shared" si="1"/>
        <v>1080</v>
      </c>
      <c r="L19" s="158"/>
      <c r="M19" s="158" t="s">
        <v>80</v>
      </c>
      <c r="N19" s="158" t="s">
        <v>88</v>
      </c>
      <c r="O19" s="37"/>
      <c r="P19" s="23">
        <v>0.64000000000000057</v>
      </c>
      <c r="Q19" s="3">
        <v>3.14</v>
      </c>
      <c r="R19" s="3">
        <v>6.03</v>
      </c>
      <c r="S19" s="3">
        <v>7.91</v>
      </c>
    </row>
    <row r="20" spans="1:19" ht="15" customHeight="1">
      <c r="A20" s="17" t="s">
        <v>94</v>
      </c>
      <c r="B20" s="17" t="s">
        <v>89</v>
      </c>
      <c r="C20" s="158" t="s">
        <v>109</v>
      </c>
      <c r="D20" s="109">
        <v>-47.805475915541528</v>
      </c>
      <c r="E20" s="109">
        <v>-21.184834500000004</v>
      </c>
      <c r="F20" s="17">
        <v>2014</v>
      </c>
      <c r="G20" s="19" t="s">
        <v>90</v>
      </c>
      <c r="H20" s="17" t="s">
        <v>177</v>
      </c>
      <c r="I20" s="17" t="s">
        <v>91</v>
      </c>
      <c r="J20" s="158" t="s">
        <v>174</v>
      </c>
      <c r="K20" s="27">
        <f t="shared" si="1"/>
        <v>1080</v>
      </c>
      <c r="L20" s="158"/>
      <c r="M20" s="158" t="s">
        <v>80</v>
      </c>
      <c r="N20" s="158" t="s">
        <v>88</v>
      </c>
      <c r="O20" s="38"/>
      <c r="P20" s="23">
        <v>0.39999999999999947</v>
      </c>
      <c r="Q20" s="3">
        <v>3.97</v>
      </c>
      <c r="R20" s="3">
        <v>7.02</v>
      </c>
      <c r="S20" s="3">
        <v>8.89</v>
      </c>
    </row>
    <row r="21" spans="1:19" ht="15" customHeight="1">
      <c r="A21" s="17" t="s">
        <v>94</v>
      </c>
      <c r="B21" s="17" t="s">
        <v>89</v>
      </c>
      <c r="C21" s="158" t="s">
        <v>127</v>
      </c>
      <c r="D21" s="109">
        <v>-46.922092505649722</v>
      </c>
      <c r="E21" s="109">
        <v>-23.449453000000005</v>
      </c>
      <c r="F21" s="17">
        <v>2014</v>
      </c>
      <c r="G21" s="19" t="s">
        <v>90</v>
      </c>
      <c r="H21" s="17" t="s">
        <v>177</v>
      </c>
      <c r="I21" s="17" t="s">
        <v>91</v>
      </c>
      <c r="J21" s="158" t="s">
        <v>174</v>
      </c>
      <c r="K21" s="27">
        <f t="shared" si="1"/>
        <v>1080</v>
      </c>
      <c r="L21" s="158"/>
      <c r="M21" s="158" t="s">
        <v>80</v>
      </c>
      <c r="N21" s="158" t="s">
        <v>88</v>
      </c>
      <c r="O21" s="37"/>
      <c r="P21" s="23">
        <v>0.1899999999999995</v>
      </c>
      <c r="Q21" s="3">
        <v>2.8</v>
      </c>
      <c r="R21" s="3">
        <v>4.3099999999999996</v>
      </c>
      <c r="S21" s="3">
        <v>5.14</v>
      </c>
    </row>
    <row r="22" spans="1:19" ht="15" customHeight="1">
      <c r="A22" s="17" t="s">
        <v>94</v>
      </c>
      <c r="B22" s="17" t="s">
        <v>89</v>
      </c>
      <c r="C22" s="158" t="s">
        <v>106</v>
      </c>
      <c r="D22" s="109">
        <v>-46.933372863488053</v>
      </c>
      <c r="E22" s="109">
        <v>-23.546934000000004</v>
      </c>
      <c r="F22" s="17">
        <v>2014</v>
      </c>
      <c r="G22" s="19" t="s">
        <v>90</v>
      </c>
      <c r="H22" s="17" t="s">
        <v>177</v>
      </c>
      <c r="I22" s="17" t="s">
        <v>91</v>
      </c>
      <c r="J22" s="158" t="s">
        <v>174</v>
      </c>
      <c r="K22" s="27">
        <f t="shared" si="1"/>
        <v>1080</v>
      </c>
      <c r="L22" s="158"/>
      <c r="M22" s="158" t="s">
        <v>80</v>
      </c>
      <c r="N22" s="158" t="s">
        <v>88</v>
      </c>
      <c r="O22" s="37"/>
      <c r="P22" s="23">
        <v>0.33999999999999986</v>
      </c>
      <c r="Q22" s="3">
        <v>2.65</v>
      </c>
      <c r="R22" s="3">
        <v>4.76</v>
      </c>
      <c r="S22" s="3">
        <v>6.06</v>
      </c>
    </row>
    <row r="23" spans="1:19" ht="15" customHeight="1" thickBot="1">
      <c r="A23" s="21" t="s">
        <v>94</v>
      </c>
      <c r="B23" s="21" t="s">
        <v>89</v>
      </c>
      <c r="C23" s="11" t="s">
        <v>107</v>
      </c>
      <c r="D23" s="110">
        <v>-49.951645643103269</v>
      </c>
      <c r="E23" s="110">
        <v>-22.214933000000002</v>
      </c>
      <c r="F23" s="21">
        <v>2014</v>
      </c>
      <c r="G23" s="22" t="s">
        <v>90</v>
      </c>
      <c r="H23" s="21" t="s">
        <v>177</v>
      </c>
      <c r="I23" s="21" t="s">
        <v>91</v>
      </c>
      <c r="J23" s="11" t="s">
        <v>174</v>
      </c>
      <c r="K23" s="11">
        <f t="shared" si="1"/>
        <v>1080</v>
      </c>
      <c r="L23" s="11"/>
      <c r="M23" s="11" t="s">
        <v>80</v>
      </c>
      <c r="N23" s="11" t="s">
        <v>88</v>
      </c>
      <c r="O23" s="122"/>
      <c r="P23" s="29">
        <v>0.6800000000000006</v>
      </c>
      <c r="Q23" s="13">
        <v>3.14</v>
      </c>
      <c r="R23" s="13">
        <v>5.61</v>
      </c>
      <c r="S23" s="13">
        <v>7.13</v>
      </c>
    </row>
    <row r="24" spans="1:19" s="107" customFormat="1" ht="15" customHeight="1">
      <c r="A24" s="17" t="s">
        <v>94</v>
      </c>
      <c r="B24" s="17" t="s">
        <v>89</v>
      </c>
      <c r="C24" s="9" t="s">
        <v>124</v>
      </c>
      <c r="D24" s="261"/>
      <c r="E24" s="262"/>
      <c r="F24" s="17">
        <v>2014</v>
      </c>
      <c r="G24" s="19" t="s">
        <v>90</v>
      </c>
      <c r="H24" s="17" t="s">
        <v>188</v>
      </c>
      <c r="I24" s="32" t="s">
        <v>91</v>
      </c>
      <c r="J24" s="32" t="s">
        <v>20</v>
      </c>
      <c r="K24" s="158">
        <v>600</v>
      </c>
      <c r="L24" s="10">
        <v>73</v>
      </c>
      <c r="M24" s="111" t="s">
        <v>50</v>
      </c>
      <c r="N24" s="158" t="s">
        <v>88</v>
      </c>
      <c r="O24" s="158">
        <v>100</v>
      </c>
      <c r="P24" s="28">
        <v>0</v>
      </c>
      <c r="Q24" s="17"/>
      <c r="R24" s="17"/>
      <c r="S24" s="17"/>
    </row>
    <row r="25" spans="1:19" ht="15" customHeight="1">
      <c r="A25" s="17" t="s">
        <v>94</v>
      </c>
      <c r="B25" s="17" t="s">
        <v>89</v>
      </c>
      <c r="C25" s="158" t="s">
        <v>100</v>
      </c>
      <c r="D25" s="109">
        <v>-50.439226072752582</v>
      </c>
      <c r="E25" s="109">
        <v>-21.205476000000004</v>
      </c>
      <c r="F25" s="17">
        <v>2014</v>
      </c>
      <c r="G25" s="19" t="s">
        <v>90</v>
      </c>
      <c r="H25" s="17" t="s">
        <v>188</v>
      </c>
      <c r="I25" s="17" t="s">
        <v>91</v>
      </c>
      <c r="J25" s="17" t="s">
        <v>20</v>
      </c>
      <c r="K25" s="37">
        <f>4*150</f>
        <v>600</v>
      </c>
      <c r="L25" s="10">
        <v>146</v>
      </c>
      <c r="M25" s="111" t="s">
        <v>50</v>
      </c>
      <c r="N25" s="158" t="s">
        <v>88</v>
      </c>
      <c r="O25" s="69">
        <v>61.5</v>
      </c>
      <c r="P25" s="10">
        <v>6.7710166641846818</v>
      </c>
      <c r="Q25" s="17"/>
      <c r="R25" s="17"/>
      <c r="S25" s="17"/>
    </row>
    <row r="26" spans="1:19" ht="15" customHeight="1">
      <c r="A26" s="17" t="s">
        <v>94</v>
      </c>
      <c r="B26" s="17" t="s">
        <v>89</v>
      </c>
      <c r="C26" s="158" t="s">
        <v>101</v>
      </c>
      <c r="D26" s="109">
        <v>-48.567377839455055</v>
      </c>
      <c r="E26" s="109">
        <v>-20.558455515000002</v>
      </c>
      <c r="F26" s="17">
        <v>2014</v>
      </c>
      <c r="G26" s="19" t="s">
        <v>90</v>
      </c>
      <c r="H26" s="17" t="s">
        <v>188</v>
      </c>
      <c r="I26" s="17" t="s">
        <v>91</v>
      </c>
      <c r="J26" s="17" t="s">
        <v>20</v>
      </c>
      <c r="K26" s="37">
        <f t="shared" ref="K26:K28" si="2">4*150</f>
        <v>600</v>
      </c>
      <c r="L26" s="10">
        <v>146</v>
      </c>
      <c r="M26" s="111" t="s">
        <v>50</v>
      </c>
      <c r="N26" s="158" t="s">
        <v>88</v>
      </c>
      <c r="O26" s="69">
        <v>55.174999999999997</v>
      </c>
      <c r="P26" s="10">
        <v>18.35018165214359</v>
      </c>
      <c r="Q26" s="17"/>
      <c r="R26" s="17"/>
      <c r="S26" s="17"/>
    </row>
    <row r="27" spans="1:19" ht="15" customHeight="1">
      <c r="A27" s="17" t="s">
        <v>94</v>
      </c>
      <c r="B27" s="17" t="s">
        <v>89</v>
      </c>
      <c r="C27" s="158" t="s">
        <v>102</v>
      </c>
      <c r="D27" s="109">
        <v>-49.083000867090362</v>
      </c>
      <c r="E27" s="109">
        <v>-22.325122500000006</v>
      </c>
      <c r="F27" s="17">
        <v>2014</v>
      </c>
      <c r="G27" s="19" t="s">
        <v>90</v>
      </c>
      <c r="H27" s="17" t="s">
        <v>188</v>
      </c>
      <c r="I27" s="17" t="s">
        <v>91</v>
      </c>
      <c r="J27" s="17" t="s">
        <v>20</v>
      </c>
      <c r="K27" s="37">
        <f t="shared" si="2"/>
        <v>600</v>
      </c>
      <c r="L27" s="28">
        <v>146</v>
      </c>
      <c r="M27" s="111" t="s">
        <v>50</v>
      </c>
      <c r="N27" s="17" t="s">
        <v>88</v>
      </c>
      <c r="O27" s="28">
        <v>72.349999999999994</v>
      </c>
      <c r="P27" s="10">
        <v>21.734381365323813</v>
      </c>
      <c r="Q27" s="17"/>
      <c r="R27" s="17"/>
      <c r="S27" s="17"/>
    </row>
    <row r="28" spans="1:19" ht="15" customHeight="1">
      <c r="A28" s="17" t="s">
        <v>94</v>
      </c>
      <c r="B28" s="17" t="s">
        <v>89</v>
      </c>
      <c r="C28" s="158" t="s">
        <v>103</v>
      </c>
      <c r="D28" s="109">
        <v>-48.441289384350434</v>
      </c>
      <c r="E28" s="109">
        <v>-22.888381500000008</v>
      </c>
      <c r="F28" s="17">
        <v>2014</v>
      </c>
      <c r="G28" s="19" t="s">
        <v>90</v>
      </c>
      <c r="H28" s="17" t="s">
        <v>188</v>
      </c>
      <c r="I28" s="17" t="s">
        <v>91</v>
      </c>
      <c r="J28" s="17" t="s">
        <v>20</v>
      </c>
      <c r="K28" s="37">
        <f t="shared" si="2"/>
        <v>600</v>
      </c>
      <c r="L28" s="28">
        <v>146</v>
      </c>
      <c r="M28" s="111" t="s">
        <v>50</v>
      </c>
      <c r="N28" s="17" t="s">
        <v>88</v>
      </c>
      <c r="O28" s="28">
        <v>96.7</v>
      </c>
      <c r="P28" s="10">
        <v>3.3536050254415297</v>
      </c>
      <c r="Q28" s="17"/>
      <c r="R28" s="17"/>
      <c r="S28" s="17"/>
    </row>
    <row r="29" spans="1:19" ht="15" customHeight="1">
      <c r="A29" s="17" t="s">
        <v>94</v>
      </c>
      <c r="B29" s="17" t="s">
        <v>89</v>
      </c>
      <c r="C29" s="158" t="s">
        <v>104</v>
      </c>
      <c r="D29" s="109">
        <v>-47.06015627297316</v>
      </c>
      <c r="E29" s="109">
        <v>-22.907342500000002</v>
      </c>
      <c r="F29" s="17">
        <v>2014</v>
      </c>
      <c r="G29" s="19" t="s">
        <v>90</v>
      </c>
      <c r="H29" s="17" t="s">
        <v>188</v>
      </c>
      <c r="I29" s="17" t="s">
        <v>91</v>
      </c>
      <c r="J29" s="17" t="s">
        <v>20</v>
      </c>
      <c r="K29" s="37">
        <f>5*150</f>
        <v>750</v>
      </c>
      <c r="L29" s="28">
        <v>146</v>
      </c>
      <c r="M29" s="111" t="s">
        <v>50</v>
      </c>
      <c r="N29" s="17" t="s">
        <v>88</v>
      </c>
      <c r="O29" s="28">
        <v>78.64</v>
      </c>
      <c r="P29" s="10">
        <v>13.317394640093804</v>
      </c>
      <c r="Q29" s="17"/>
      <c r="R29" s="17"/>
      <c r="S29" s="17"/>
    </row>
    <row r="30" spans="1:19" ht="15" customHeight="1">
      <c r="A30" s="17" t="s">
        <v>94</v>
      </c>
      <c r="B30" s="17" t="s">
        <v>89</v>
      </c>
      <c r="C30" s="158" t="s">
        <v>106</v>
      </c>
      <c r="D30" s="109">
        <v>-46.933372863488053</v>
      </c>
      <c r="E30" s="109">
        <v>-23.546934000000004</v>
      </c>
      <c r="F30" s="17">
        <v>2014</v>
      </c>
      <c r="G30" s="19" t="s">
        <v>90</v>
      </c>
      <c r="H30" s="17" t="s">
        <v>188</v>
      </c>
      <c r="I30" s="17" t="s">
        <v>91</v>
      </c>
      <c r="J30" s="17" t="s">
        <v>20</v>
      </c>
      <c r="K30" s="158">
        <f>4*150</f>
        <v>600</v>
      </c>
      <c r="L30" s="28">
        <v>146</v>
      </c>
      <c r="M30" s="111" t="s">
        <v>50</v>
      </c>
      <c r="N30" s="17" t="s">
        <v>88</v>
      </c>
      <c r="O30" s="28">
        <v>84.625</v>
      </c>
      <c r="P30" s="10">
        <v>9.331086038970307</v>
      </c>
      <c r="Q30" s="17"/>
      <c r="R30" s="17"/>
      <c r="S30" s="17"/>
    </row>
    <row r="31" spans="1:19" ht="15" customHeight="1">
      <c r="A31" s="17" t="s">
        <v>94</v>
      </c>
      <c r="B31" s="17" t="s">
        <v>89</v>
      </c>
      <c r="C31" s="158" t="s">
        <v>107</v>
      </c>
      <c r="D31" s="109">
        <v>-49.951645643103269</v>
      </c>
      <c r="E31" s="109">
        <v>-22.214933000000002</v>
      </c>
      <c r="F31" s="17">
        <v>2014</v>
      </c>
      <c r="G31" s="19" t="s">
        <v>90</v>
      </c>
      <c r="H31" s="17" t="s">
        <v>188</v>
      </c>
      <c r="I31" s="17" t="s">
        <v>91</v>
      </c>
      <c r="J31" s="17" t="s">
        <v>20</v>
      </c>
      <c r="K31" s="158">
        <f>4*150</f>
        <v>600</v>
      </c>
      <c r="L31" s="28">
        <v>146</v>
      </c>
      <c r="M31" s="111" t="s">
        <v>50</v>
      </c>
      <c r="N31" s="17" t="s">
        <v>88</v>
      </c>
      <c r="O31" s="28">
        <v>77.924999999999997</v>
      </c>
      <c r="P31" s="10">
        <v>11.142224493639775</v>
      </c>
      <c r="Q31" s="17"/>
      <c r="R31" s="17"/>
      <c r="S31" s="17"/>
    </row>
    <row r="32" spans="1:19" ht="15" customHeight="1">
      <c r="A32" s="17" t="s">
        <v>94</v>
      </c>
      <c r="B32" s="17" t="s">
        <v>89</v>
      </c>
      <c r="C32" s="158" t="s">
        <v>108</v>
      </c>
      <c r="D32" s="109">
        <v>-51.386765581912492</v>
      </c>
      <c r="E32" s="109">
        <v>-22.122743500000002</v>
      </c>
      <c r="F32" s="17">
        <v>2014</v>
      </c>
      <c r="G32" s="19" t="s">
        <v>90</v>
      </c>
      <c r="H32" s="17" t="s">
        <v>188</v>
      </c>
      <c r="I32" s="17" t="s">
        <v>91</v>
      </c>
      <c r="J32" s="17" t="s">
        <v>20</v>
      </c>
      <c r="K32" s="158">
        <f>5*150</f>
        <v>750</v>
      </c>
      <c r="L32" s="28">
        <v>146</v>
      </c>
      <c r="M32" s="111" t="s">
        <v>50</v>
      </c>
      <c r="N32" s="17" t="s">
        <v>88</v>
      </c>
      <c r="O32" s="28">
        <v>67.800000000000011</v>
      </c>
      <c r="P32" s="10">
        <v>22.688469905805988</v>
      </c>
      <c r="Q32" s="17"/>
      <c r="R32" s="17"/>
      <c r="S32" s="17"/>
    </row>
    <row r="33" spans="1:19" ht="15" customHeight="1">
      <c r="A33" s="17" t="s">
        <v>94</v>
      </c>
      <c r="B33" s="17" t="s">
        <v>89</v>
      </c>
      <c r="C33" s="158" t="s">
        <v>109</v>
      </c>
      <c r="D33" s="109">
        <v>-47.805475915541528</v>
      </c>
      <c r="E33" s="109">
        <v>-21.184834500000004</v>
      </c>
      <c r="F33" s="17">
        <v>2014</v>
      </c>
      <c r="G33" s="19" t="s">
        <v>90</v>
      </c>
      <c r="H33" s="17" t="s">
        <v>188</v>
      </c>
      <c r="I33" s="17" t="s">
        <v>91</v>
      </c>
      <c r="J33" s="17" t="s">
        <v>20</v>
      </c>
      <c r="K33" s="158">
        <f>4*150</f>
        <v>600</v>
      </c>
      <c r="L33" s="28">
        <v>146</v>
      </c>
      <c r="M33" s="111" t="s">
        <v>50</v>
      </c>
      <c r="N33" s="17" t="s">
        <v>88</v>
      </c>
      <c r="O33" s="28">
        <v>69.62</v>
      </c>
      <c r="P33" s="10">
        <v>8.5945913224538657</v>
      </c>
      <c r="Q33" s="17"/>
      <c r="R33" s="17"/>
      <c r="S33" s="17"/>
    </row>
    <row r="34" spans="1:19" ht="15" customHeight="1">
      <c r="A34" s="17" t="s">
        <v>94</v>
      </c>
      <c r="B34" s="17" t="s">
        <v>89</v>
      </c>
      <c r="C34" s="158" t="s">
        <v>110</v>
      </c>
      <c r="D34" s="109">
        <v>-46.331370849190684</v>
      </c>
      <c r="E34" s="109">
        <v>-23.933737500000003</v>
      </c>
      <c r="F34" s="17">
        <v>2014</v>
      </c>
      <c r="G34" s="19" t="s">
        <v>90</v>
      </c>
      <c r="H34" s="17" t="s">
        <v>188</v>
      </c>
      <c r="I34" s="17" t="s">
        <v>91</v>
      </c>
      <c r="J34" s="17" t="s">
        <v>20</v>
      </c>
      <c r="K34" s="158">
        <f>4*150</f>
        <v>600</v>
      </c>
      <c r="L34" s="28">
        <v>146</v>
      </c>
      <c r="M34" s="111" t="s">
        <v>50</v>
      </c>
      <c r="N34" s="17" t="s">
        <v>88</v>
      </c>
      <c r="O34" s="24">
        <v>39.075000000000003</v>
      </c>
      <c r="P34" s="10">
        <v>1.1701139545645396</v>
      </c>
    </row>
    <row r="35" spans="1:19" ht="15" customHeight="1">
      <c r="A35" s="17" t="s">
        <v>94</v>
      </c>
      <c r="B35" s="17" t="s">
        <v>89</v>
      </c>
      <c r="C35" s="17" t="s">
        <v>127</v>
      </c>
      <c r="D35" s="109">
        <v>-46.922092505649722</v>
      </c>
      <c r="E35" s="109">
        <v>-23.449453000000005</v>
      </c>
      <c r="F35" s="17">
        <v>2014</v>
      </c>
      <c r="G35" s="19" t="s">
        <v>90</v>
      </c>
      <c r="H35" s="17" t="s">
        <v>188</v>
      </c>
      <c r="I35" s="17" t="s">
        <v>91</v>
      </c>
      <c r="J35" s="17" t="s">
        <v>20</v>
      </c>
      <c r="K35" s="158">
        <f>4*150</f>
        <v>600</v>
      </c>
      <c r="L35" s="28">
        <v>146</v>
      </c>
      <c r="M35" s="111" t="s">
        <v>50</v>
      </c>
      <c r="N35" s="17" t="s">
        <v>88</v>
      </c>
      <c r="O35" s="24">
        <v>44.325000000000003</v>
      </c>
      <c r="P35" s="10">
        <v>12.390150658217729</v>
      </c>
    </row>
    <row r="36" spans="1:19" ht="15" customHeight="1">
      <c r="A36" s="17" t="s">
        <v>94</v>
      </c>
      <c r="B36" s="17" t="s">
        <v>89</v>
      </c>
      <c r="C36" s="158" t="s">
        <v>131</v>
      </c>
      <c r="D36" s="109">
        <v>-49.381347685025794</v>
      </c>
      <c r="E36" s="109">
        <v>-20.812636500000004</v>
      </c>
      <c r="F36" s="17">
        <v>2014</v>
      </c>
      <c r="G36" s="19" t="s">
        <v>90</v>
      </c>
      <c r="H36" s="17" t="s">
        <v>188</v>
      </c>
      <c r="I36" s="17" t="s">
        <v>91</v>
      </c>
      <c r="J36" s="17" t="s">
        <v>20</v>
      </c>
      <c r="K36" s="158">
        <f>4*150</f>
        <v>600</v>
      </c>
      <c r="L36" s="28">
        <v>146</v>
      </c>
      <c r="M36" s="111" t="s">
        <v>50</v>
      </c>
      <c r="N36" s="17" t="s">
        <v>88</v>
      </c>
      <c r="O36" s="24">
        <v>50.75</v>
      </c>
      <c r="P36" s="10">
        <v>16.688219397726847</v>
      </c>
    </row>
    <row r="37" spans="1:19" ht="15" customHeight="1" thickBot="1">
      <c r="A37" s="21" t="s">
        <v>94</v>
      </c>
      <c r="B37" s="21" t="s">
        <v>89</v>
      </c>
      <c r="C37" s="11" t="s">
        <v>113</v>
      </c>
      <c r="D37" s="110">
        <v>-45.402680140543957</v>
      </c>
      <c r="E37" s="110">
        <v>-23.806687652148753</v>
      </c>
      <c r="F37" s="21">
        <v>2014</v>
      </c>
      <c r="G37" s="22" t="s">
        <v>90</v>
      </c>
      <c r="H37" s="21" t="s">
        <v>188</v>
      </c>
      <c r="I37" s="21" t="s">
        <v>91</v>
      </c>
      <c r="J37" s="21" t="s">
        <v>20</v>
      </c>
      <c r="K37" s="11">
        <f>4*150</f>
        <v>600</v>
      </c>
      <c r="L37" s="25">
        <v>146</v>
      </c>
      <c r="M37" s="114" t="s">
        <v>50</v>
      </c>
      <c r="N37" s="21" t="s">
        <v>88</v>
      </c>
      <c r="O37" s="25">
        <v>79.625</v>
      </c>
      <c r="P37" s="30">
        <v>7.8014421743675078</v>
      </c>
    </row>
    <row r="38" spans="1:19" ht="15" customHeight="1">
      <c r="A38" s="17" t="s">
        <v>94</v>
      </c>
      <c r="B38" s="17" t="s">
        <v>89</v>
      </c>
      <c r="C38" s="9" t="s">
        <v>124</v>
      </c>
      <c r="D38" s="261"/>
      <c r="E38" s="262"/>
      <c r="F38" s="17">
        <v>2014</v>
      </c>
      <c r="G38" s="33" t="s">
        <v>90</v>
      </c>
      <c r="H38" s="17" t="s">
        <v>188</v>
      </c>
      <c r="I38" s="32" t="s">
        <v>91</v>
      </c>
      <c r="J38" s="32" t="s">
        <v>21</v>
      </c>
      <c r="K38" s="27">
        <v>600</v>
      </c>
      <c r="L38" s="31">
        <v>9</v>
      </c>
      <c r="M38" s="111" t="s">
        <v>50</v>
      </c>
      <c r="N38" s="158" t="s">
        <v>88</v>
      </c>
      <c r="O38" s="27">
        <v>100</v>
      </c>
      <c r="P38" s="31">
        <v>0</v>
      </c>
    </row>
    <row r="39" spans="1:19" ht="15" customHeight="1">
      <c r="A39" s="17" t="s">
        <v>94</v>
      </c>
      <c r="B39" s="17" t="s">
        <v>89</v>
      </c>
      <c r="C39" s="158" t="s">
        <v>100</v>
      </c>
      <c r="D39" s="109">
        <v>-50.439226072752582</v>
      </c>
      <c r="E39" s="109">
        <v>-21.205476000000004</v>
      </c>
      <c r="F39" s="17">
        <v>2014</v>
      </c>
      <c r="G39" s="19" t="s">
        <v>90</v>
      </c>
      <c r="H39" s="17" t="s">
        <v>188</v>
      </c>
      <c r="I39" s="17" t="s">
        <v>91</v>
      </c>
      <c r="J39" s="17" t="s">
        <v>21</v>
      </c>
      <c r="K39" s="287">
        <f>4*150</f>
        <v>600</v>
      </c>
      <c r="L39" s="31">
        <v>18</v>
      </c>
      <c r="M39" s="111" t="s">
        <v>50</v>
      </c>
      <c r="N39" s="158" t="s">
        <v>88</v>
      </c>
      <c r="O39" s="283">
        <v>12.675000000000001</v>
      </c>
      <c r="P39" s="31">
        <v>6.8</v>
      </c>
    </row>
    <row r="40" spans="1:19" ht="15" customHeight="1">
      <c r="A40" s="17" t="s">
        <v>94</v>
      </c>
      <c r="B40" s="17" t="s">
        <v>89</v>
      </c>
      <c r="C40" s="158" t="s">
        <v>101</v>
      </c>
      <c r="D40" s="109">
        <v>-48.567377839455055</v>
      </c>
      <c r="E40" s="109">
        <v>-20.558455515000002</v>
      </c>
      <c r="F40" s="17">
        <v>2014</v>
      </c>
      <c r="G40" s="19" t="s">
        <v>90</v>
      </c>
      <c r="H40" s="17" t="s">
        <v>188</v>
      </c>
      <c r="I40" s="17" t="s">
        <v>91</v>
      </c>
      <c r="J40" s="17" t="s">
        <v>21</v>
      </c>
      <c r="K40" s="37">
        <f t="shared" ref="K40:K51" si="3">4*150</f>
        <v>600</v>
      </c>
      <c r="L40" s="24">
        <v>18</v>
      </c>
      <c r="M40" s="111" t="s">
        <v>50</v>
      </c>
      <c r="N40" s="17" t="s">
        <v>88</v>
      </c>
      <c r="O40" s="24">
        <v>38.450000000000003</v>
      </c>
      <c r="P40" s="24">
        <v>18.899999999999999</v>
      </c>
    </row>
    <row r="41" spans="1:19" ht="15" customHeight="1">
      <c r="A41" s="17" t="s">
        <v>94</v>
      </c>
      <c r="B41" s="17" t="s">
        <v>89</v>
      </c>
      <c r="C41" s="158" t="s">
        <v>102</v>
      </c>
      <c r="D41" s="109">
        <v>-49.083000867090362</v>
      </c>
      <c r="E41" s="109">
        <v>-22.325122500000006</v>
      </c>
      <c r="F41" s="17">
        <v>2014</v>
      </c>
      <c r="G41" s="19" t="s">
        <v>90</v>
      </c>
      <c r="H41" s="17" t="s">
        <v>188</v>
      </c>
      <c r="I41" s="17" t="s">
        <v>91</v>
      </c>
      <c r="J41" s="17" t="s">
        <v>21</v>
      </c>
      <c r="K41" s="37">
        <f t="shared" si="3"/>
        <v>600</v>
      </c>
      <c r="L41" s="24">
        <v>18</v>
      </c>
      <c r="M41" s="111" t="s">
        <v>50</v>
      </c>
      <c r="N41" s="17" t="s">
        <v>88</v>
      </c>
      <c r="O41" s="24">
        <v>59.4</v>
      </c>
      <c r="P41" s="24">
        <v>14.4</v>
      </c>
    </row>
    <row r="42" spans="1:19" ht="15" customHeight="1">
      <c r="A42" s="17" t="s">
        <v>94</v>
      </c>
      <c r="B42" s="17" t="s">
        <v>89</v>
      </c>
      <c r="C42" s="158" t="s">
        <v>103</v>
      </c>
      <c r="D42" s="109">
        <v>-48.441289384350434</v>
      </c>
      <c r="E42" s="109">
        <v>-22.888381500000008</v>
      </c>
      <c r="F42" s="17">
        <v>2014</v>
      </c>
      <c r="G42" s="19" t="s">
        <v>90</v>
      </c>
      <c r="H42" s="17" t="s">
        <v>188</v>
      </c>
      <c r="I42" s="17" t="s">
        <v>91</v>
      </c>
      <c r="J42" s="17" t="s">
        <v>21</v>
      </c>
      <c r="K42" s="37">
        <f t="shared" si="3"/>
        <v>600</v>
      </c>
      <c r="L42" s="24">
        <v>18</v>
      </c>
      <c r="M42" s="111" t="s">
        <v>50</v>
      </c>
      <c r="N42" s="17" t="s">
        <v>88</v>
      </c>
      <c r="O42" s="24">
        <v>82.574999999999989</v>
      </c>
      <c r="P42" s="24">
        <v>20.9</v>
      </c>
    </row>
    <row r="43" spans="1:19" ht="15" customHeight="1">
      <c r="A43" s="17" t="s">
        <v>94</v>
      </c>
      <c r="B43" s="17" t="s">
        <v>89</v>
      </c>
      <c r="C43" s="158" t="s">
        <v>104</v>
      </c>
      <c r="D43" s="109">
        <v>-47.06015627297316</v>
      </c>
      <c r="E43" s="109">
        <v>-22.907342500000002</v>
      </c>
      <c r="F43" s="17">
        <v>2014</v>
      </c>
      <c r="G43" s="19" t="s">
        <v>90</v>
      </c>
      <c r="H43" s="17" t="s">
        <v>188</v>
      </c>
      <c r="I43" s="17" t="s">
        <v>91</v>
      </c>
      <c r="J43" s="17" t="s">
        <v>21</v>
      </c>
      <c r="K43" s="287">
        <f t="shared" si="3"/>
        <v>600</v>
      </c>
      <c r="L43" s="24">
        <v>18</v>
      </c>
      <c r="M43" s="111" t="s">
        <v>50</v>
      </c>
      <c r="N43" s="17" t="s">
        <v>88</v>
      </c>
      <c r="O43" s="273">
        <v>51.15</v>
      </c>
      <c r="P43" s="24">
        <v>13.2</v>
      </c>
    </row>
    <row r="44" spans="1:19" ht="15" customHeight="1">
      <c r="A44" s="17" t="s">
        <v>94</v>
      </c>
      <c r="B44" s="17" t="s">
        <v>89</v>
      </c>
      <c r="C44" s="158" t="s">
        <v>106</v>
      </c>
      <c r="D44" s="109">
        <v>-46.933372863488053</v>
      </c>
      <c r="E44" s="109">
        <v>-23.546934000000004</v>
      </c>
      <c r="F44" s="17">
        <v>2014</v>
      </c>
      <c r="G44" s="19" t="s">
        <v>90</v>
      </c>
      <c r="H44" s="17" t="s">
        <v>188</v>
      </c>
      <c r="I44" s="17" t="s">
        <v>91</v>
      </c>
      <c r="J44" s="17" t="s">
        <v>21</v>
      </c>
      <c r="K44" s="37">
        <f t="shared" si="3"/>
        <v>600</v>
      </c>
      <c r="L44" s="24">
        <v>18</v>
      </c>
      <c r="M44" s="111" t="s">
        <v>50</v>
      </c>
      <c r="N44" s="17" t="s">
        <v>88</v>
      </c>
      <c r="O44" s="24">
        <v>50.75</v>
      </c>
      <c r="P44" s="24">
        <v>12.8</v>
      </c>
    </row>
    <row r="45" spans="1:19" ht="15" customHeight="1">
      <c r="A45" s="17" t="s">
        <v>94</v>
      </c>
      <c r="B45" s="17" t="s">
        <v>89</v>
      </c>
      <c r="C45" s="158" t="s">
        <v>107</v>
      </c>
      <c r="D45" s="109">
        <v>-49.951645643103269</v>
      </c>
      <c r="E45" s="109">
        <v>-22.214933000000002</v>
      </c>
      <c r="F45" s="17">
        <v>2014</v>
      </c>
      <c r="G45" s="19" t="s">
        <v>90</v>
      </c>
      <c r="H45" s="17" t="s">
        <v>188</v>
      </c>
      <c r="I45" s="17" t="s">
        <v>91</v>
      </c>
      <c r="J45" s="17" t="s">
        <v>21</v>
      </c>
      <c r="K45" s="287">
        <f t="shared" si="3"/>
        <v>600</v>
      </c>
      <c r="L45" s="24">
        <v>18</v>
      </c>
      <c r="M45" s="111" t="s">
        <v>50</v>
      </c>
      <c r="N45" s="17" t="s">
        <v>88</v>
      </c>
      <c r="O45" s="273">
        <v>57.5</v>
      </c>
      <c r="P45" s="24">
        <v>12.6</v>
      </c>
    </row>
    <row r="46" spans="1:19" ht="15" customHeight="1">
      <c r="A46" s="17" t="s">
        <v>94</v>
      </c>
      <c r="B46" s="17" t="s">
        <v>89</v>
      </c>
      <c r="C46" s="158" t="s">
        <v>108</v>
      </c>
      <c r="D46" s="109">
        <v>-51.386765581912492</v>
      </c>
      <c r="E46" s="109">
        <v>-22.122743500000002</v>
      </c>
      <c r="F46" s="17">
        <v>2014</v>
      </c>
      <c r="G46" s="19" t="s">
        <v>90</v>
      </c>
      <c r="H46" s="17" t="s">
        <v>188</v>
      </c>
      <c r="I46" s="17" t="s">
        <v>91</v>
      </c>
      <c r="J46" s="17" t="s">
        <v>21</v>
      </c>
      <c r="K46" s="287">
        <f t="shared" si="3"/>
        <v>600</v>
      </c>
      <c r="L46" s="24">
        <v>18</v>
      </c>
      <c r="M46" s="111" t="s">
        <v>50</v>
      </c>
      <c r="N46" s="17" t="s">
        <v>88</v>
      </c>
      <c r="O46" s="273">
        <v>61.675000000000004</v>
      </c>
      <c r="P46" s="24">
        <v>23.1</v>
      </c>
    </row>
    <row r="47" spans="1:19" ht="15" customHeight="1">
      <c r="A47" s="17" t="s">
        <v>94</v>
      </c>
      <c r="B47" s="17" t="s">
        <v>89</v>
      </c>
      <c r="C47" s="158" t="s">
        <v>109</v>
      </c>
      <c r="D47" s="109">
        <v>-47.805475915541528</v>
      </c>
      <c r="E47" s="109">
        <v>-21.184834500000004</v>
      </c>
      <c r="F47" s="17">
        <v>2014</v>
      </c>
      <c r="G47" s="19" t="s">
        <v>90</v>
      </c>
      <c r="H47" s="17" t="s">
        <v>188</v>
      </c>
      <c r="I47" s="17" t="s">
        <v>91</v>
      </c>
      <c r="J47" s="17" t="s">
        <v>21</v>
      </c>
      <c r="K47" s="287">
        <f t="shared" si="3"/>
        <v>600</v>
      </c>
      <c r="L47" s="24">
        <v>18</v>
      </c>
      <c r="M47" s="111" t="s">
        <v>50</v>
      </c>
      <c r="N47" s="17" t="s">
        <v>88</v>
      </c>
      <c r="O47" s="273">
        <v>51</v>
      </c>
      <c r="P47" s="24">
        <v>6.3</v>
      </c>
    </row>
    <row r="48" spans="1:19" ht="15" customHeight="1">
      <c r="A48" s="17" t="s">
        <v>94</v>
      </c>
      <c r="B48" s="17" t="s">
        <v>89</v>
      </c>
      <c r="C48" s="158" t="s">
        <v>110</v>
      </c>
      <c r="D48" s="109">
        <v>-46.331370849190684</v>
      </c>
      <c r="E48" s="109">
        <v>-23.933737500000003</v>
      </c>
      <c r="F48" s="17">
        <v>2014</v>
      </c>
      <c r="G48" s="19" t="s">
        <v>90</v>
      </c>
      <c r="H48" s="17" t="s">
        <v>188</v>
      </c>
      <c r="I48" s="17" t="s">
        <v>91</v>
      </c>
      <c r="J48" s="17" t="s">
        <v>21</v>
      </c>
      <c r="K48" s="37">
        <f t="shared" si="3"/>
        <v>600</v>
      </c>
      <c r="L48" s="24">
        <v>18</v>
      </c>
      <c r="M48" s="111" t="s">
        <v>50</v>
      </c>
      <c r="N48" s="17" t="s">
        <v>88</v>
      </c>
      <c r="O48" s="24">
        <v>40.400000000000006</v>
      </c>
      <c r="P48" s="24">
        <v>15.6</v>
      </c>
    </row>
    <row r="49" spans="1:16" ht="15" customHeight="1">
      <c r="A49" s="17" t="s">
        <v>94</v>
      </c>
      <c r="B49" s="17" t="s">
        <v>89</v>
      </c>
      <c r="C49" s="17" t="s">
        <v>127</v>
      </c>
      <c r="D49" s="109">
        <v>-46.922092505649722</v>
      </c>
      <c r="E49" s="109">
        <v>-23.449453000000005</v>
      </c>
      <c r="F49" s="17">
        <v>2014</v>
      </c>
      <c r="G49" s="19" t="s">
        <v>90</v>
      </c>
      <c r="H49" s="17" t="s">
        <v>188</v>
      </c>
      <c r="I49" s="17" t="s">
        <v>91</v>
      </c>
      <c r="J49" s="17" t="s">
        <v>21</v>
      </c>
      <c r="K49" s="37">
        <f t="shared" si="3"/>
        <v>600</v>
      </c>
      <c r="L49" s="24">
        <v>18</v>
      </c>
      <c r="M49" s="111" t="s">
        <v>50</v>
      </c>
      <c r="N49" s="17" t="s">
        <v>88</v>
      </c>
      <c r="O49" s="24">
        <v>32.799999999999997</v>
      </c>
      <c r="P49" s="24">
        <v>13.1</v>
      </c>
    </row>
    <row r="50" spans="1:16" ht="15" customHeight="1">
      <c r="A50" s="17" t="s">
        <v>94</v>
      </c>
      <c r="B50" s="17" t="s">
        <v>89</v>
      </c>
      <c r="C50" s="158" t="s">
        <v>131</v>
      </c>
      <c r="D50" s="109">
        <v>-49.381347685025794</v>
      </c>
      <c r="E50" s="109">
        <v>-20.812636500000004</v>
      </c>
      <c r="F50" s="17">
        <v>2014</v>
      </c>
      <c r="G50" s="19" t="s">
        <v>90</v>
      </c>
      <c r="H50" s="17" t="s">
        <v>188</v>
      </c>
      <c r="I50" s="17" t="s">
        <v>91</v>
      </c>
      <c r="J50" s="17" t="s">
        <v>21</v>
      </c>
      <c r="K50" s="37">
        <f t="shared" si="3"/>
        <v>600</v>
      </c>
      <c r="L50" s="24">
        <v>18</v>
      </c>
      <c r="M50" s="111" t="s">
        <v>50</v>
      </c>
      <c r="N50" s="17" t="s">
        <v>88</v>
      </c>
      <c r="O50" s="24">
        <v>44.7</v>
      </c>
      <c r="P50" s="24">
        <v>21.3</v>
      </c>
    </row>
    <row r="51" spans="1:16" ht="15" customHeight="1" thickBot="1">
      <c r="A51" s="21" t="s">
        <v>94</v>
      </c>
      <c r="B51" s="21" t="s">
        <v>89</v>
      </c>
      <c r="C51" s="11" t="s">
        <v>113</v>
      </c>
      <c r="D51" s="110">
        <v>-45.402680140543957</v>
      </c>
      <c r="E51" s="110">
        <v>-23.806687652148753</v>
      </c>
      <c r="F51" s="21">
        <v>2014</v>
      </c>
      <c r="G51" s="22" t="s">
        <v>90</v>
      </c>
      <c r="H51" s="21" t="s">
        <v>188</v>
      </c>
      <c r="I51" s="21" t="s">
        <v>91</v>
      </c>
      <c r="J51" s="21" t="s">
        <v>21</v>
      </c>
      <c r="K51" s="46">
        <f t="shared" si="3"/>
        <v>600</v>
      </c>
      <c r="L51" s="25">
        <v>18</v>
      </c>
      <c r="M51" s="114" t="s">
        <v>50</v>
      </c>
      <c r="N51" s="21" t="s">
        <v>88</v>
      </c>
      <c r="O51" s="25">
        <v>43.325000000000003</v>
      </c>
      <c r="P51" s="25">
        <v>9.1</v>
      </c>
    </row>
    <row r="52" spans="1:16" ht="15" customHeight="1">
      <c r="A52" s="17" t="s">
        <v>94</v>
      </c>
      <c r="B52" s="17" t="s">
        <v>89</v>
      </c>
      <c r="C52" s="9" t="s">
        <v>124</v>
      </c>
      <c r="D52" s="261"/>
      <c r="E52" s="262"/>
      <c r="F52" s="17">
        <v>2014</v>
      </c>
      <c r="G52" s="19" t="s">
        <v>90</v>
      </c>
      <c r="H52" s="17" t="s">
        <v>188</v>
      </c>
      <c r="I52" s="17" t="s">
        <v>91</v>
      </c>
      <c r="J52" s="17" t="s">
        <v>93</v>
      </c>
      <c r="K52" s="27">
        <v>900</v>
      </c>
      <c r="L52" s="31">
        <v>146</v>
      </c>
      <c r="M52" s="111" t="s">
        <v>50</v>
      </c>
      <c r="N52" s="158" t="s">
        <v>88</v>
      </c>
      <c r="O52" s="27">
        <v>100</v>
      </c>
      <c r="P52" s="24">
        <v>0</v>
      </c>
    </row>
    <row r="53" spans="1:16" ht="15" customHeight="1">
      <c r="A53" s="17" t="s">
        <v>94</v>
      </c>
      <c r="B53" s="17" t="s">
        <v>89</v>
      </c>
      <c r="C53" s="158" t="s">
        <v>100</v>
      </c>
      <c r="D53" s="109">
        <v>-50.439226072752582</v>
      </c>
      <c r="E53" s="109">
        <v>-21.205476000000004</v>
      </c>
      <c r="F53" s="17">
        <v>2014</v>
      </c>
      <c r="G53" s="19" t="s">
        <v>90</v>
      </c>
      <c r="H53" s="17" t="s">
        <v>188</v>
      </c>
      <c r="I53" s="17" t="s">
        <v>91</v>
      </c>
      <c r="J53" s="17" t="s">
        <v>93</v>
      </c>
      <c r="K53" s="37">
        <f>150*6</f>
        <v>900</v>
      </c>
      <c r="L53" s="24">
        <v>292</v>
      </c>
      <c r="M53" s="111" t="s">
        <v>50</v>
      </c>
      <c r="N53" s="17" t="s">
        <v>88</v>
      </c>
      <c r="O53" s="24">
        <v>90.600000000000009</v>
      </c>
      <c r="P53" s="24">
        <v>8.8000000000000007</v>
      </c>
    </row>
    <row r="54" spans="1:16" ht="15" customHeight="1">
      <c r="A54" s="17" t="s">
        <v>94</v>
      </c>
      <c r="B54" s="17" t="s">
        <v>89</v>
      </c>
      <c r="C54" s="158" t="s">
        <v>101</v>
      </c>
      <c r="D54" s="109">
        <v>-48.567377839455055</v>
      </c>
      <c r="E54" s="109">
        <v>-20.558455515000002</v>
      </c>
      <c r="F54" s="17">
        <v>2014</v>
      </c>
      <c r="G54" s="19" t="s">
        <v>90</v>
      </c>
      <c r="H54" s="17" t="s">
        <v>188</v>
      </c>
      <c r="I54" s="17" t="s">
        <v>91</v>
      </c>
      <c r="J54" s="17" t="s">
        <v>93</v>
      </c>
      <c r="K54" s="37">
        <f>6*150</f>
        <v>900</v>
      </c>
      <c r="L54" s="24">
        <v>292</v>
      </c>
      <c r="M54" s="111" t="s">
        <v>50</v>
      </c>
      <c r="N54" s="17" t="s">
        <v>88</v>
      </c>
      <c r="O54" s="24">
        <v>88.45</v>
      </c>
      <c r="P54" s="24">
        <v>11.5</v>
      </c>
    </row>
    <row r="55" spans="1:16" ht="15" customHeight="1">
      <c r="A55" s="17" t="s">
        <v>94</v>
      </c>
      <c r="B55" s="17" t="s">
        <v>89</v>
      </c>
      <c r="C55" s="158" t="s">
        <v>102</v>
      </c>
      <c r="D55" s="109">
        <v>-49.083000867090362</v>
      </c>
      <c r="E55" s="109">
        <v>-22.325122500000006</v>
      </c>
      <c r="F55" s="17">
        <v>2014</v>
      </c>
      <c r="G55" s="19" t="s">
        <v>90</v>
      </c>
      <c r="H55" s="17" t="s">
        <v>188</v>
      </c>
      <c r="I55" s="17" t="s">
        <v>91</v>
      </c>
      <c r="J55" s="17" t="s">
        <v>93</v>
      </c>
      <c r="K55" s="37">
        <f>4*150</f>
        <v>600</v>
      </c>
      <c r="L55" s="24">
        <v>292</v>
      </c>
      <c r="M55" s="111" t="s">
        <v>50</v>
      </c>
      <c r="N55" s="17" t="s">
        <v>88</v>
      </c>
      <c r="O55" s="51">
        <v>100</v>
      </c>
      <c r="P55" s="24">
        <v>0</v>
      </c>
    </row>
    <row r="56" spans="1:16" ht="15" customHeight="1">
      <c r="A56" s="17" t="s">
        <v>94</v>
      </c>
      <c r="B56" s="17" t="s">
        <v>89</v>
      </c>
      <c r="C56" s="158" t="s">
        <v>103</v>
      </c>
      <c r="D56" s="109">
        <v>-48.441289384350434</v>
      </c>
      <c r="E56" s="109">
        <v>-22.888381500000008</v>
      </c>
      <c r="F56" s="17">
        <v>2014</v>
      </c>
      <c r="G56" s="19" t="s">
        <v>90</v>
      </c>
      <c r="H56" s="17" t="s">
        <v>188</v>
      </c>
      <c r="I56" s="17" t="s">
        <v>91</v>
      </c>
      <c r="J56" s="17" t="s">
        <v>93</v>
      </c>
      <c r="K56" s="37">
        <f t="shared" ref="K56:K65" si="4">4*150</f>
        <v>600</v>
      </c>
      <c r="L56" s="24">
        <v>292</v>
      </c>
      <c r="M56" s="111" t="s">
        <v>50</v>
      </c>
      <c r="N56" s="17" t="s">
        <v>88</v>
      </c>
      <c r="O56" s="51">
        <v>100</v>
      </c>
      <c r="P56" s="24">
        <v>0</v>
      </c>
    </row>
    <row r="57" spans="1:16" ht="15" customHeight="1">
      <c r="A57" s="17" t="s">
        <v>94</v>
      </c>
      <c r="B57" s="17" t="s">
        <v>89</v>
      </c>
      <c r="C57" s="158" t="s">
        <v>104</v>
      </c>
      <c r="D57" s="109">
        <v>-47.06015627297316</v>
      </c>
      <c r="E57" s="109">
        <v>-22.907342500000002</v>
      </c>
      <c r="F57" s="17">
        <v>2014</v>
      </c>
      <c r="G57" s="19" t="s">
        <v>90</v>
      </c>
      <c r="H57" s="17" t="s">
        <v>188</v>
      </c>
      <c r="I57" s="17" t="s">
        <v>91</v>
      </c>
      <c r="J57" s="17" t="s">
        <v>93</v>
      </c>
      <c r="K57" s="37">
        <f t="shared" si="4"/>
        <v>600</v>
      </c>
      <c r="L57" s="24">
        <v>292</v>
      </c>
      <c r="M57" s="111" t="s">
        <v>50</v>
      </c>
      <c r="N57" s="17" t="s">
        <v>88</v>
      </c>
      <c r="O57" s="24">
        <v>99.75</v>
      </c>
      <c r="P57" s="24">
        <v>0.5</v>
      </c>
    </row>
    <row r="58" spans="1:16" ht="15" customHeight="1">
      <c r="A58" s="17" t="s">
        <v>94</v>
      </c>
      <c r="B58" s="17" t="s">
        <v>89</v>
      </c>
      <c r="C58" s="158" t="s">
        <v>106</v>
      </c>
      <c r="D58" s="109">
        <v>-46.933372863488053</v>
      </c>
      <c r="E58" s="109">
        <v>-23.546934000000004</v>
      </c>
      <c r="F58" s="17">
        <v>2014</v>
      </c>
      <c r="G58" s="19" t="s">
        <v>90</v>
      </c>
      <c r="H58" s="17" t="s">
        <v>188</v>
      </c>
      <c r="I58" s="17" t="s">
        <v>91</v>
      </c>
      <c r="J58" s="17" t="s">
        <v>93</v>
      </c>
      <c r="K58" s="37">
        <f t="shared" si="4"/>
        <v>600</v>
      </c>
      <c r="L58" s="24">
        <v>292</v>
      </c>
      <c r="M58" s="111" t="s">
        <v>50</v>
      </c>
      <c r="N58" s="17" t="s">
        <v>88</v>
      </c>
      <c r="O58" s="24">
        <v>99.75</v>
      </c>
      <c r="P58" s="24">
        <v>0.5</v>
      </c>
    </row>
    <row r="59" spans="1:16" ht="15" customHeight="1">
      <c r="A59" s="17" t="s">
        <v>94</v>
      </c>
      <c r="B59" s="17" t="s">
        <v>89</v>
      </c>
      <c r="C59" s="158" t="s">
        <v>107</v>
      </c>
      <c r="D59" s="109">
        <v>-49.951645643103269</v>
      </c>
      <c r="E59" s="109">
        <v>-22.214933000000002</v>
      </c>
      <c r="F59" s="17">
        <v>2014</v>
      </c>
      <c r="G59" s="19" t="s">
        <v>90</v>
      </c>
      <c r="H59" s="17" t="s">
        <v>188</v>
      </c>
      <c r="I59" s="17" t="s">
        <v>91</v>
      </c>
      <c r="J59" s="17" t="s">
        <v>93</v>
      </c>
      <c r="K59" s="37">
        <f t="shared" si="4"/>
        <v>600</v>
      </c>
      <c r="L59" s="24">
        <v>292</v>
      </c>
      <c r="M59" s="111" t="s">
        <v>50</v>
      </c>
      <c r="N59" s="17" t="s">
        <v>88</v>
      </c>
      <c r="O59" s="51">
        <v>100</v>
      </c>
      <c r="P59" s="24">
        <v>0</v>
      </c>
    </row>
    <row r="60" spans="1:16" ht="15" customHeight="1">
      <c r="A60" s="17" t="s">
        <v>94</v>
      </c>
      <c r="B60" s="17" t="s">
        <v>89</v>
      </c>
      <c r="C60" s="158" t="s">
        <v>108</v>
      </c>
      <c r="D60" s="109">
        <v>-51.386765581912492</v>
      </c>
      <c r="E60" s="109">
        <v>-22.122743500000002</v>
      </c>
      <c r="F60" s="17">
        <v>2014</v>
      </c>
      <c r="G60" s="19" t="s">
        <v>90</v>
      </c>
      <c r="H60" s="17" t="s">
        <v>188</v>
      </c>
      <c r="I60" s="17" t="s">
        <v>91</v>
      </c>
      <c r="J60" s="17" t="s">
        <v>93</v>
      </c>
      <c r="K60" s="37">
        <f t="shared" si="4"/>
        <v>600</v>
      </c>
      <c r="L60" s="24">
        <v>292</v>
      </c>
      <c r="M60" s="111" t="s">
        <v>50</v>
      </c>
      <c r="N60" s="17" t="s">
        <v>88</v>
      </c>
      <c r="O60" s="24">
        <v>99.75</v>
      </c>
      <c r="P60" s="24">
        <v>0.5</v>
      </c>
    </row>
    <row r="61" spans="1:16" ht="15" customHeight="1">
      <c r="A61" s="17" t="s">
        <v>94</v>
      </c>
      <c r="B61" s="17" t="s">
        <v>89</v>
      </c>
      <c r="C61" s="158" t="s">
        <v>109</v>
      </c>
      <c r="D61" s="109">
        <v>-47.805475915541528</v>
      </c>
      <c r="E61" s="109">
        <v>-21.184834500000004</v>
      </c>
      <c r="F61" s="17">
        <v>2014</v>
      </c>
      <c r="G61" s="19" t="s">
        <v>90</v>
      </c>
      <c r="H61" s="17" t="s">
        <v>188</v>
      </c>
      <c r="I61" s="17" t="s">
        <v>91</v>
      </c>
      <c r="J61" s="17" t="s">
        <v>93</v>
      </c>
      <c r="K61" s="37">
        <f t="shared" si="4"/>
        <v>600</v>
      </c>
      <c r="L61" s="24">
        <v>292</v>
      </c>
      <c r="M61" s="111" t="s">
        <v>50</v>
      </c>
      <c r="N61" s="17" t="s">
        <v>88</v>
      </c>
      <c r="O61" s="51">
        <v>100</v>
      </c>
      <c r="P61" s="24">
        <v>0</v>
      </c>
    </row>
    <row r="62" spans="1:16" ht="15" customHeight="1">
      <c r="A62" s="17" t="s">
        <v>94</v>
      </c>
      <c r="B62" s="17" t="s">
        <v>89</v>
      </c>
      <c r="C62" s="158" t="s">
        <v>110</v>
      </c>
      <c r="D62" s="109">
        <v>-46.331370849190684</v>
      </c>
      <c r="E62" s="109">
        <v>-23.933737500000003</v>
      </c>
      <c r="F62" s="17">
        <v>2014</v>
      </c>
      <c r="G62" s="19" t="s">
        <v>90</v>
      </c>
      <c r="H62" s="17" t="s">
        <v>188</v>
      </c>
      <c r="I62" s="17" t="s">
        <v>91</v>
      </c>
      <c r="J62" s="17" t="s">
        <v>93</v>
      </c>
      <c r="K62" s="37">
        <f t="shared" si="4"/>
        <v>600</v>
      </c>
      <c r="L62" s="24">
        <v>292</v>
      </c>
      <c r="M62" s="111" t="s">
        <v>50</v>
      </c>
      <c r="N62" s="17" t="s">
        <v>88</v>
      </c>
      <c r="O62" s="51">
        <v>100</v>
      </c>
      <c r="P62" s="24">
        <v>0</v>
      </c>
    </row>
    <row r="63" spans="1:16" ht="15" customHeight="1">
      <c r="A63" s="17" t="s">
        <v>94</v>
      </c>
      <c r="B63" s="17" t="s">
        <v>89</v>
      </c>
      <c r="C63" s="17" t="s">
        <v>127</v>
      </c>
      <c r="D63" s="109">
        <v>-46.922092505649722</v>
      </c>
      <c r="E63" s="109">
        <v>-23.449453000000005</v>
      </c>
      <c r="F63" s="17">
        <v>2014</v>
      </c>
      <c r="G63" s="19" t="s">
        <v>90</v>
      </c>
      <c r="H63" s="17" t="s">
        <v>188</v>
      </c>
      <c r="I63" s="17" t="s">
        <v>91</v>
      </c>
      <c r="J63" s="17" t="s">
        <v>93</v>
      </c>
      <c r="K63" s="37">
        <f t="shared" si="4"/>
        <v>600</v>
      </c>
      <c r="L63" s="24">
        <v>292</v>
      </c>
      <c r="M63" s="111" t="s">
        <v>50</v>
      </c>
      <c r="N63" s="17" t="s">
        <v>88</v>
      </c>
      <c r="O63" s="51">
        <v>100</v>
      </c>
      <c r="P63" s="24">
        <v>0</v>
      </c>
    </row>
    <row r="64" spans="1:16" ht="15" customHeight="1">
      <c r="A64" s="17" t="s">
        <v>94</v>
      </c>
      <c r="B64" s="17" t="s">
        <v>89</v>
      </c>
      <c r="C64" s="158" t="s">
        <v>131</v>
      </c>
      <c r="D64" s="109">
        <v>-49.381347685025794</v>
      </c>
      <c r="E64" s="109">
        <v>-20.812636500000004</v>
      </c>
      <c r="F64" s="17">
        <v>2014</v>
      </c>
      <c r="G64" s="19" t="s">
        <v>90</v>
      </c>
      <c r="H64" s="17" t="s">
        <v>188</v>
      </c>
      <c r="I64" s="17" t="s">
        <v>91</v>
      </c>
      <c r="J64" s="17" t="s">
        <v>93</v>
      </c>
      <c r="K64" s="37">
        <f t="shared" si="4"/>
        <v>600</v>
      </c>
      <c r="L64" s="24">
        <v>292</v>
      </c>
      <c r="M64" s="111" t="s">
        <v>50</v>
      </c>
      <c r="N64" s="17" t="s">
        <v>88</v>
      </c>
      <c r="O64" s="51">
        <v>100</v>
      </c>
      <c r="P64" s="24">
        <v>0</v>
      </c>
    </row>
    <row r="65" spans="1:16" ht="15" customHeight="1" thickBot="1">
      <c r="A65" s="21" t="s">
        <v>94</v>
      </c>
      <c r="B65" s="21" t="s">
        <v>89</v>
      </c>
      <c r="C65" s="11" t="s">
        <v>113</v>
      </c>
      <c r="D65" s="110">
        <v>-45.402680140543957</v>
      </c>
      <c r="E65" s="110">
        <v>-23.806687652148753</v>
      </c>
      <c r="F65" s="21">
        <v>2014</v>
      </c>
      <c r="G65" s="22" t="s">
        <v>90</v>
      </c>
      <c r="H65" s="21" t="s">
        <v>188</v>
      </c>
      <c r="I65" s="21" t="s">
        <v>91</v>
      </c>
      <c r="J65" s="21" t="s">
        <v>93</v>
      </c>
      <c r="K65" s="46">
        <f t="shared" si="4"/>
        <v>600</v>
      </c>
      <c r="L65" s="25">
        <v>292</v>
      </c>
      <c r="M65" s="114" t="s">
        <v>50</v>
      </c>
      <c r="N65" s="21" t="s">
        <v>88</v>
      </c>
      <c r="O65" s="25">
        <v>97.474999999999994</v>
      </c>
      <c r="P65" s="25">
        <v>4.3</v>
      </c>
    </row>
    <row r="66" spans="1:16" ht="15" customHeight="1">
      <c r="J66" s="17"/>
      <c r="K66" s="17"/>
    </row>
    <row r="67" spans="1:16" ht="15" customHeight="1">
      <c r="C67" s="9"/>
      <c r="D67" s="109"/>
      <c r="E67" s="109"/>
      <c r="J67" s="17"/>
    </row>
    <row r="68" spans="1:16" ht="15" customHeight="1">
      <c r="C68" s="2"/>
      <c r="D68" s="2"/>
      <c r="E68" s="2"/>
    </row>
    <row r="69" spans="1:16" ht="15" customHeight="1">
      <c r="C69" s="2"/>
      <c r="D69" s="2"/>
      <c r="E69" s="2"/>
    </row>
    <row r="70" spans="1:16" ht="15" customHeight="1">
      <c r="C70" s="2"/>
      <c r="D70" s="2"/>
      <c r="E70" s="2"/>
    </row>
    <row r="71" spans="1:16" ht="15" customHeight="1">
      <c r="C71" s="2"/>
      <c r="D71" s="2"/>
      <c r="E71" s="2"/>
    </row>
    <row r="72" spans="1:16" ht="15" customHeight="1">
      <c r="C72" s="2"/>
      <c r="D72" s="2"/>
      <c r="E72" s="2"/>
    </row>
    <row r="73" spans="1:16" ht="15" customHeight="1">
      <c r="C73" s="2"/>
      <c r="D73" s="2"/>
      <c r="E73" s="2"/>
    </row>
    <row r="74" spans="1:16" ht="15" customHeight="1">
      <c r="C74" s="2"/>
      <c r="D74" s="2"/>
      <c r="E74" s="2"/>
    </row>
    <row r="75" spans="1:16" ht="15" customHeight="1">
      <c r="C75" s="2"/>
      <c r="D75" s="2"/>
      <c r="E75" s="2"/>
    </row>
    <row r="76" spans="1:16" ht="15" customHeight="1">
      <c r="C76" s="2"/>
      <c r="D76" s="2"/>
      <c r="E76" s="2"/>
    </row>
    <row r="77" spans="1:16" ht="15" customHeight="1">
      <c r="C77" s="2"/>
      <c r="D77" s="2"/>
      <c r="E77" s="2"/>
    </row>
    <row r="78" spans="1:16" ht="15" customHeight="1">
      <c r="C78" s="2"/>
      <c r="D78" s="2"/>
      <c r="E78" s="2"/>
    </row>
    <row r="79" spans="1:16" ht="15" customHeight="1">
      <c r="C79" s="2"/>
      <c r="D79" s="2"/>
      <c r="E79" s="2"/>
    </row>
    <row r="80" spans="1:16" ht="15" customHeight="1">
      <c r="C80" s="2"/>
      <c r="D80" s="2"/>
      <c r="E80" s="2"/>
    </row>
    <row r="81" spans="3:5" ht="15" customHeight="1">
      <c r="C81" s="2"/>
      <c r="D81" s="2"/>
      <c r="E81" s="2"/>
    </row>
    <row r="82" spans="3:5" ht="15" customHeight="1">
      <c r="C82" s="2"/>
      <c r="D82" s="2"/>
      <c r="E82" s="2"/>
    </row>
    <row r="83" spans="3:5" ht="15" customHeight="1">
      <c r="C83" s="2"/>
      <c r="D83" s="2"/>
      <c r="E83" s="2"/>
    </row>
    <row r="84" spans="3:5" ht="15" customHeight="1">
      <c r="C84" s="2"/>
      <c r="D84" s="2"/>
      <c r="E84" s="2"/>
    </row>
    <row r="85" spans="3:5" ht="15" customHeight="1">
      <c r="C85" s="2"/>
      <c r="D85" s="2"/>
      <c r="E85" s="2"/>
    </row>
  </sheetData>
  <phoneticPr fontId="48" type="noConversion"/>
  <conditionalFormatting sqref="C26:C34 C36:C37">
    <cfRule type="cellIs" dxfId="34" priority="45" stopIfTrue="1" operator="between">
      <formula>0</formula>
      <formula>79.9</formula>
    </cfRule>
    <cfRule type="cellIs" dxfId="33" priority="46" stopIfTrue="1" operator="between">
      <formula>80</formula>
      <formula>97.9</formula>
    </cfRule>
    <cfRule type="cellIs" dxfId="32" priority="47" stopIfTrue="1" operator="between">
      <formula>98</formula>
      <formula>100</formula>
    </cfRule>
  </conditionalFormatting>
  <conditionalFormatting sqref="C40:C48 C50:C51">
    <cfRule type="cellIs" dxfId="31" priority="42" stopIfTrue="1" operator="between">
      <formula>0</formula>
      <formula>79.9</formula>
    </cfRule>
    <cfRule type="cellIs" dxfId="30" priority="43" stopIfTrue="1" operator="between">
      <formula>80</formula>
      <formula>97.9</formula>
    </cfRule>
    <cfRule type="cellIs" dxfId="29" priority="44" stopIfTrue="1" operator="between">
      <formula>98</formula>
      <formula>100</formula>
    </cfRule>
  </conditionalFormatting>
  <conditionalFormatting sqref="C54:C62 C64:C65">
    <cfRule type="cellIs" dxfId="28" priority="39" stopIfTrue="1" operator="between">
      <formula>0</formula>
      <formula>79.9</formula>
    </cfRule>
    <cfRule type="cellIs" dxfId="27" priority="40" stopIfTrue="1" operator="between">
      <formula>80</formula>
      <formula>97.9</formula>
    </cfRule>
    <cfRule type="cellIs" dxfId="26" priority="41" stopIfTrue="1" operator="between">
      <formula>98</formula>
      <formula>100</formula>
    </cfRule>
  </conditionalFormatting>
  <conditionalFormatting sqref="C67">
    <cfRule type="cellIs" dxfId="25" priority="36" stopIfTrue="1" operator="between">
      <formula>0</formula>
      <formula>79.9</formula>
    </cfRule>
    <cfRule type="cellIs" dxfId="24" priority="37" stopIfTrue="1" operator="between">
      <formula>80</formula>
      <formula>97.9</formula>
    </cfRule>
    <cfRule type="cellIs" dxfId="23" priority="38" stopIfTrue="1" operator="between">
      <formula>98</formula>
      <formula>100</formula>
    </cfRule>
  </conditionalFormatting>
  <conditionalFormatting sqref="C14">
    <cfRule type="cellIs" dxfId="22" priority="33" stopIfTrue="1" operator="between">
      <formula>0</formula>
      <formula>79.9</formula>
    </cfRule>
    <cfRule type="cellIs" dxfId="21" priority="34" stopIfTrue="1" operator="between">
      <formula>80</formula>
      <formula>97.9</formula>
    </cfRule>
    <cfRule type="cellIs" dxfId="20" priority="35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ignoredErrors>
    <ignoredError sqref="K32 K29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AE83"/>
  <sheetViews>
    <sheetView tabSelected="1" topLeftCell="A2" zoomScale="96" zoomScaleNormal="96" zoomScalePageLayoutView="96" workbookViewId="0">
      <selection activeCell="A2" sqref="A2"/>
    </sheetView>
  </sheetViews>
  <sheetFormatPr baseColWidth="10" defaultColWidth="8.83203125" defaultRowHeight="14.25" customHeight="1"/>
  <cols>
    <col min="1" max="1" width="18.5" style="17" bestFit="1" customWidth="1"/>
    <col min="2" max="2" width="7" style="18" bestFit="1" customWidth="1"/>
    <col min="3" max="3" width="20.1640625" style="18" customWidth="1"/>
    <col min="4" max="4" width="22" style="18" customWidth="1"/>
    <col min="5" max="5" width="16.6640625" style="18" customWidth="1"/>
    <col min="6" max="7" width="12.6640625" style="18" customWidth="1"/>
    <col min="8" max="8" width="15.5" style="18" customWidth="1"/>
    <col min="9" max="9" width="18.1640625" style="18" bestFit="1" customWidth="1"/>
    <col min="10" max="10" width="10.83203125" style="18" customWidth="1"/>
    <col min="11" max="11" width="13.5" style="27" customWidth="1"/>
    <col min="12" max="12" width="12" style="27" customWidth="1"/>
    <col min="13" max="13" width="7.5" style="27" customWidth="1"/>
    <col min="14" max="14" width="7.6640625" style="27" customWidth="1"/>
    <col min="15" max="15" width="14.1640625" style="27" customWidth="1"/>
    <col min="16" max="16" width="17.6640625" style="18" bestFit="1" customWidth="1"/>
    <col min="17" max="17" width="8.1640625" style="18" customWidth="1"/>
    <col min="18" max="18" width="8.5" style="18" customWidth="1"/>
    <col min="19" max="19" width="8.33203125" style="18" bestFit="1" customWidth="1"/>
    <col min="20" max="16384" width="8.83203125" style="214"/>
  </cols>
  <sheetData>
    <row r="1" spans="1:19" ht="14.25" customHeight="1" thickBot="1">
      <c r="A1" s="21" t="s">
        <v>69</v>
      </c>
      <c r="B1" s="17" t="s">
        <v>70</v>
      </c>
      <c r="C1" s="21" t="s">
        <v>71</v>
      </c>
      <c r="D1" s="91" t="s">
        <v>190</v>
      </c>
      <c r="E1" s="17" t="s">
        <v>24</v>
      </c>
      <c r="F1" s="17" t="s">
        <v>72</v>
      </c>
      <c r="G1" s="17" t="s">
        <v>73</v>
      </c>
      <c r="H1" s="21" t="s">
        <v>74</v>
      </c>
      <c r="I1" s="17" t="s">
        <v>75</v>
      </c>
      <c r="J1" s="17" t="s">
        <v>76</v>
      </c>
      <c r="K1" s="11" t="s">
        <v>77</v>
      </c>
      <c r="L1" s="158" t="s">
        <v>78</v>
      </c>
      <c r="M1" s="158" t="s">
        <v>79</v>
      </c>
      <c r="N1" s="158" t="s">
        <v>82</v>
      </c>
      <c r="O1" s="158" t="s">
        <v>83</v>
      </c>
      <c r="P1" s="11" t="s">
        <v>27</v>
      </c>
      <c r="Q1" s="11" t="s">
        <v>85</v>
      </c>
      <c r="R1" s="11" t="s">
        <v>86</v>
      </c>
      <c r="S1" s="11" t="s">
        <v>87</v>
      </c>
    </row>
    <row r="2" spans="1:19" ht="14.25" customHeight="1">
      <c r="A2" s="17" t="s">
        <v>94</v>
      </c>
      <c r="B2" s="32" t="s">
        <v>89</v>
      </c>
      <c r="C2" s="45" t="s">
        <v>124</v>
      </c>
      <c r="D2" s="261"/>
      <c r="E2" s="262"/>
      <c r="F2" s="32">
        <v>2015</v>
      </c>
      <c r="G2" s="33" t="s">
        <v>90</v>
      </c>
      <c r="H2" s="18" t="s">
        <v>177</v>
      </c>
      <c r="I2" s="32" t="s">
        <v>91</v>
      </c>
      <c r="J2" s="32" t="s">
        <v>81</v>
      </c>
      <c r="K2" s="158">
        <v>1920</v>
      </c>
      <c r="L2" s="34"/>
      <c r="M2" s="34" t="s">
        <v>80</v>
      </c>
      <c r="N2" s="34" t="s">
        <v>88</v>
      </c>
      <c r="O2" s="34"/>
      <c r="P2" s="4">
        <v>2.9999999999999992E-4</v>
      </c>
      <c r="Q2" s="23">
        <v>3.2000000000000002E-3</v>
      </c>
      <c r="R2" s="23">
        <v>6.0000000000000001E-3</v>
      </c>
      <c r="S2" s="23">
        <v>7.7000000000000002E-3</v>
      </c>
    </row>
    <row r="3" spans="1:19" ht="14.25" customHeight="1">
      <c r="A3" s="17" t="s">
        <v>94</v>
      </c>
      <c r="B3" s="17" t="s">
        <v>89</v>
      </c>
      <c r="C3" s="158" t="s">
        <v>100</v>
      </c>
      <c r="D3" s="109">
        <v>-50.439226072752582</v>
      </c>
      <c r="E3" s="109">
        <v>-21.205476000000004</v>
      </c>
      <c r="F3" s="17">
        <v>2015</v>
      </c>
      <c r="G3" s="19" t="s">
        <v>90</v>
      </c>
      <c r="H3" s="18" t="s">
        <v>177</v>
      </c>
      <c r="I3" s="17" t="s">
        <v>91</v>
      </c>
      <c r="J3" s="17" t="s">
        <v>81</v>
      </c>
      <c r="K3" s="158">
        <v>1920</v>
      </c>
      <c r="L3" s="158"/>
      <c r="M3" s="158" t="s">
        <v>80</v>
      </c>
      <c r="N3" s="158" t="s">
        <v>88</v>
      </c>
      <c r="O3" s="10"/>
      <c r="P3" s="3">
        <v>1.0000000000000009E-3</v>
      </c>
      <c r="Q3" s="3">
        <v>8.0000000000000002E-3</v>
      </c>
      <c r="R3" s="3">
        <v>1.7000000000000001E-2</v>
      </c>
      <c r="S3" s="3">
        <v>2.3E-2</v>
      </c>
    </row>
    <row r="4" spans="1:19" ht="14.25" customHeight="1">
      <c r="A4" s="17" t="s">
        <v>94</v>
      </c>
      <c r="B4" s="17" t="s">
        <v>89</v>
      </c>
      <c r="C4" s="17" t="s">
        <v>101</v>
      </c>
      <c r="D4" s="109">
        <v>-48.567377839455055</v>
      </c>
      <c r="E4" s="109">
        <v>-20.558455515000002</v>
      </c>
      <c r="F4" s="17">
        <v>2015</v>
      </c>
      <c r="G4" s="19" t="s">
        <v>90</v>
      </c>
      <c r="H4" s="18" t="s">
        <v>177</v>
      </c>
      <c r="I4" s="17" t="s">
        <v>91</v>
      </c>
      <c r="J4" s="17" t="s">
        <v>81</v>
      </c>
      <c r="K4" s="158">
        <v>1920</v>
      </c>
      <c r="L4" s="158"/>
      <c r="M4" s="158" t="s">
        <v>80</v>
      </c>
      <c r="N4" s="158" t="s">
        <v>88</v>
      </c>
      <c r="O4" s="10"/>
      <c r="P4" s="4">
        <v>2.0000000000000018E-3</v>
      </c>
      <c r="Q4" s="4">
        <v>9.7999999999999997E-3</v>
      </c>
      <c r="R4" s="4">
        <v>0.02</v>
      </c>
      <c r="S4" s="4">
        <v>2.5999999999999999E-2</v>
      </c>
    </row>
    <row r="5" spans="1:19" ht="14.25" customHeight="1">
      <c r="A5" s="17" t="s">
        <v>94</v>
      </c>
      <c r="B5" s="17" t="s">
        <v>89</v>
      </c>
      <c r="C5" s="17" t="s">
        <v>102</v>
      </c>
      <c r="D5" s="109">
        <v>-49.083000867090362</v>
      </c>
      <c r="E5" s="109">
        <v>-22.325122500000006</v>
      </c>
      <c r="F5" s="17">
        <v>2015</v>
      </c>
      <c r="G5" s="19" t="s">
        <v>90</v>
      </c>
      <c r="H5" s="17" t="s">
        <v>177</v>
      </c>
      <c r="I5" s="17" t="s">
        <v>91</v>
      </c>
      <c r="J5" s="17" t="s">
        <v>81</v>
      </c>
      <c r="K5" s="158">
        <v>1920</v>
      </c>
      <c r="L5" s="158"/>
      <c r="M5" s="158" t="s">
        <v>80</v>
      </c>
      <c r="N5" s="158" t="s">
        <v>88</v>
      </c>
      <c r="O5" s="10"/>
      <c r="P5" s="4">
        <v>2.0000000000000018E-3</v>
      </c>
      <c r="Q5" s="4">
        <v>6.7999999999999996E-3</v>
      </c>
      <c r="R5" s="4">
        <v>0.02</v>
      </c>
      <c r="S5" s="4">
        <v>3.1E-2</v>
      </c>
    </row>
    <row r="6" spans="1:19" ht="14.25" customHeight="1">
      <c r="A6" s="17" t="s">
        <v>94</v>
      </c>
      <c r="B6" s="17" t="s">
        <v>89</v>
      </c>
      <c r="C6" s="17" t="s">
        <v>104</v>
      </c>
      <c r="D6" s="109">
        <v>-47.06015627297316</v>
      </c>
      <c r="E6" s="109">
        <v>-22.907342500000002</v>
      </c>
      <c r="F6" s="17">
        <v>2015</v>
      </c>
      <c r="G6" s="19" t="s">
        <v>90</v>
      </c>
      <c r="H6" s="17" t="s">
        <v>177</v>
      </c>
      <c r="I6" s="17" t="s">
        <v>91</v>
      </c>
      <c r="J6" s="17" t="s">
        <v>81</v>
      </c>
      <c r="K6" s="158">
        <v>1920</v>
      </c>
      <c r="L6" s="158"/>
      <c r="M6" s="158" t="s">
        <v>80</v>
      </c>
      <c r="N6" s="158" t="s">
        <v>88</v>
      </c>
      <c r="O6" s="10"/>
      <c r="P6" s="4">
        <v>9.9999999999999915E-4</v>
      </c>
      <c r="Q6" s="4">
        <v>5.5999999999999999E-3</v>
      </c>
      <c r="R6" s="4">
        <v>1.0999999999999999E-2</v>
      </c>
      <c r="S6" s="4">
        <v>1.4999999999999999E-2</v>
      </c>
    </row>
    <row r="7" spans="1:19" ht="14.25" customHeight="1">
      <c r="A7" s="17" t="s">
        <v>94</v>
      </c>
      <c r="B7" s="17" t="s">
        <v>89</v>
      </c>
      <c r="C7" s="17" t="s">
        <v>25</v>
      </c>
      <c r="D7" s="109">
        <v>-49.951645643103269</v>
      </c>
      <c r="E7" s="109">
        <v>-22.214933000000002</v>
      </c>
      <c r="F7" s="17">
        <v>2015</v>
      </c>
      <c r="G7" s="19" t="s">
        <v>90</v>
      </c>
      <c r="H7" s="17" t="s">
        <v>177</v>
      </c>
      <c r="I7" s="17" t="s">
        <v>91</v>
      </c>
      <c r="J7" s="17" t="s">
        <v>81</v>
      </c>
      <c r="K7" s="158">
        <v>1920</v>
      </c>
      <c r="L7" s="158"/>
      <c r="M7" s="158" t="s">
        <v>80</v>
      </c>
      <c r="N7" s="158" t="s">
        <v>88</v>
      </c>
      <c r="O7" s="10"/>
      <c r="P7" s="4">
        <v>1.0000000000000009E-3</v>
      </c>
      <c r="Q7" s="4">
        <v>6.7000000000000002E-3</v>
      </c>
      <c r="R7" s="4">
        <v>1.7000000000000001E-2</v>
      </c>
      <c r="S7" s="4">
        <v>2.5000000000000001E-2</v>
      </c>
    </row>
    <row r="8" spans="1:19" ht="14.25" customHeight="1">
      <c r="A8" s="17" t="s">
        <v>94</v>
      </c>
      <c r="B8" s="17" t="s">
        <v>89</v>
      </c>
      <c r="C8" s="17" t="s">
        <v>95</v>
      </c>
      <c r="D8" s="109">
        <v>-46.570383182112749</v>
      </c>
      <c r="E8" s="109">
        <v>-23.567386500000001</v>
      </c>
      <c r="F8" s="17">
        <v>2015</v>
      </c>
      <c r="G8" s="19" t="s">
        <v>90</v>
      </c>
      <c r="H8" s="17" t="s">
        <v>177</v>
      </c>
      <c r="I8" s="17" t="s">
        <v>91</v>
      </c>
      <c r="J8" s="17" t="s">
        <v>81</v>
      </c>
      <c r="K8" s="158">
        <v>1920</v>
      </c>
      <c r="L8" s="158"/>
      <c r="M8" s="158" t="s">
        <v>80</v>
      </c>
      <c r="N8" s="158" t="s">
        <v>88</v>
      </c>
      <c r="O8" s="10"/>
      <c r="P8" s="4">
        <v>2E-3</v>
      </c>
      <c r="Q8" s="3">
        <v>5.7999999999999996E-3</v>
      </c>
      <c r="R8" s="3">
        <v>1.2999999999999999E-2</v>
      </c>
      <c r="S8" s="3">
        <v>1.7999999999999999E-2</v>
      </c>
    </row>
    <row r="9" spans="1:19" ht="14.25" customHeight="1">
      <c r="A9" s="17" t="s">
        <v>94</v>
      </c>
      <c r="B9" s="17" t="s">
        <v>89</v>
      </c>
      <c r="C9" s="17" t="s">
        <v>108</v>
      </c>
      <c r="D9" s="109">
        <v>-51.386765581912492</v>
      </c>
      <c r="E9" s="109">
        <v>-22.122743500000002</v>
      </c>
      <c r="F9" s="17">
        <v>2015</v>
      </c>
      <c r="G9" s="19" t="s">
        <v>90</v>
      </c>
      <c r="H9" s="17" t="s">
        <v>177</v>
      </c>
      <c r="I9" s="17" t="s">
        <v>91</v>
      </c>
      <c r="J9" s="17" t="s">
        <v>81</v>
      </c>
      <c r="K9" s="158">
        <v>1920</v>
      </c>
      <c r="L9" s="158"/>
      <c r="M9" s="158" t="s">
        <v>80</v>
      </c>
      <c r="N9" s="158" t="s">
        <v>88</v>
      </c>
      <c r="O9" s="10"/>
      <c r="P9" s="4">
        <v>1.9999999999999983E-3</v>
      </c>
      <c r="Q9" s="3">
        <v>7.6E-3</v>
      </c>
      <c r="R9" s="3">
        <v>1.7999999999999999E-2</v>
      </c>
      <c r="S9" s="3">
        <v>2.7E-2</v>
      </c>
    </row>
    <row r="10" spans="1:19" ht="14.25" customHeight="1">
      <c r="A10" s="17" t="s">
        <v>94</v>
      </c>
      <c r="B10" s="17" t="s">
        <v>89</v>
      </c>
      <c r="C10" s="158" t="s">
        <v>175</v>
      </c>
      <c r="D10" s="109">
        <v>-47.841054751674982</v>
      </c>
      <c r="E10" s="109">
        <v>-24.494251427999906</v>
      </c>
      <c r="F10" s="17">
        <v>2015</v>
      </c>
      <c r="G10" s="19" t="s">
        <v>90</v>
      </c>
      <c r="H10" s="17" t="s">
        <v>177</v>
      </c>
      <c r="I10" s="17" t="s">
        <v>91</v>
      </c>
      <c r="J10" s="17" t="s">
        <v>81</v>
      </c>
      <c r="K10" s="158">
        <v>1920</v>
      </c>
      <c r="L10" s="158"/>
      <c r="M10" s="158" t="s">
        <v>80</v>
      </c>
      <c r="N10" s="158" t="s">
        <v>88</v>
      </c>
      <c r="O10" s="10"/>
      <c r="P10" s="4">
        <v>1.0000000000000009E-3</v>
      </c>
      <c r="Q10" s="3">
        <v>7.4999999999999997E-3</v>
      </c>
      <c r="R10" s="3">
        <v>1.4E-2</v>
      </c>
      <c r="S10" s="3">
        <v>1.7000000000000001E-2</v>
      </c>
    </row>
    <row r="11" spans="1:19" ht="14.25" customHeight="1">
      <c r="A11" s="17" t="s">
        <v>94</v>
      </c>
      <c r="B11" s="17" t="s">
        <v>89</v>
      </c>
      <c r="C11" s="158" t="s">
        <v>109</v>
      </c>
      <c r="D11" s="109">
        <v>-47.805475915541528</v>
      </c>
      <c r="E11" s="109">
        <v>-21.184834500000004</v>
      </c>
      <c r="F11" s="17">
        <v>2015</v>
      </c>
      <c r="G11" s="19" t="s">
        <v>90</v>
      </c>
      <c r="H11" s="17" t="s">
        <v>177</v>
      </c>
      <c r="I11" s="17" t="s">
        <v>91</v>
      </c>
      <c r="J11" s="17" t="s">
        <v>81</v>
      </c>
      <c r="K11" s="158">
        <v>1920</v>
      </c>
      <c r="L11" s="158"/>
      <c r="M11" s="158" t="s">
        <v>80</v>
      </c>
      <c r="N11" s="158" t="s">
        <v>88</v>
      </c>
      <c r="O11" s="10"/>
      <c r="P11" s="3">
        <v>9.9999999999999915E-4</v>
      </c>
      <c r="Q11" s="3">
        <v>7.7999999999999996E-3</v>
      </c>
      <c r="R11" s="3">
        <v>1.4999999999999999E-2</v>
      </c>
      <c r="S11" s="3">
        <v>0.02</v>
      </c>
    </row>
    <row r="12" spans="1:19" ht="14.25" customHeight="1">
      <c r="A12" s="17" t="s">
        <v>94</v>
      </c>
      <c r="B12" s="17" t="s">
        <v>89</v>
      </c>
      <c r="C12" s="158" t="s">
        <v>110</v>
      </c>
      <c r="D12" s="109">
        <v>-46.331370849190684</v>
      </c>
      <c r="E12" s="109">
        <v>-23.933737500000003</v>
      </c>
      <c r="F12" s="17">
        <v>2015</v>
      </c>
      <c r="G12" s="19" t="s">
        <v>90</v>
      </c>
      <c r="H12" s="17" t="s">
        <v>177</v>
      </c>
      <c r="I12" s="17" t="s">
        <v>91</v>
      </c>
      <c r="J12" s="17" t="s">
        <v>81</v>
      </c>
      <c r="K12" s="158">
        <v>1920</v>
      </c>
      <c r="L12" s="158"/>
      <c r="M12" s="158" t="s">
        <v>80</v>
      </c>
      <c r="N12" s="158" t="s">
        <v>88</v>
      </c>
      <c r="O12" s="10"/>
      <c r="P12" s="3">
        <v>1.9999999999999983E-3</v>
      </c>
      <c r="Q12" s="4">
        <v>8.0000000000000002E-3</v>
      </c>
      <c r="R12" s="4">
        <v>1.7999999999999999E-2</v>
      </c>
      <c r="S12" s="4">
        <v>2.5000000000000001E-2</v>
      </c>
    </row>
    <row r="13" spans="1:19" ht="14.25" customHeight="1">
      <c r="A13" s="17" t="s">
        <v>94</v>
      </c>
      <c r="B13" s="17" t="s">
        <v>89</v>
      </c>
      <c r="C13" s="67" t="s">
        <v>131</v>
      </c>
      <c r="D13" s="109">
        <v>-49.381347685025794</v>
      </c>
      <c r="E13" s="109">
        <v>-20.812636500000004</v>
      </c>
      <c r="F13" s="17">
        <v>2015</v>
      </c>
      <c r="G13" s="19" t="s">
        <v>90</v>
      </c>
      <c r="H13" s="17" t="s">
        <v>177</v>
      </c>
      <c r="I13" s="17" t="s">
        <v>91</v>
      </c>
      <c r="J13" s="17" t="s">
        <v>81</v>
      </c>
      <c r="K13" s="158">
        <v>1920</v>
      </c>
      <c r="L13" s="158"/>
      <c r="M13" s="158" t="s">
        <v>80</v>
      </c>
      <c r="N13" s="158" t="s">
        <v>88</v>
      </c>
      <c r="O13" s="10"/>
      <c r="P13" s="3">
        <v>2.0000000000000018E-3</v>
      </c>
      <c r="Q13" s="3">
        <v>8.9999999999999993E-3</v>
      </c>
      <c r="R13" s="3">
        <v>2.1000000000000001E-2</v>
      </c>
      <c r="S13" s="3">
        <v>0.03</v>
      </c>
    </row>
    <row r="14" spans="1:19" ht="14.25" customHeight="1">
      <c r="A14" s="17" t="s">
        <v>94</v>
      </c>
      <c r="B14" s="17" t="s">
        <v>89</v>
      </c>
      <c r="C14" s="158" t="s">
        <v>113</v>
      </c>
      <c r="D14" s="127">
        <v>-45.402680140543957</v>
      </c>
      <c r="E14" s="127">
        <v>-23.806687652148753</v>
      </c>
      <c r="F14" s="17">
        <v>2015</v>
      </c>
      <c r="G14" s="19" t="s">
        <v>90</v>
      </c>
      <c r="H14" s="17" t="s">
        <v>177</v>
      </c>
      <c r="I14" s="17" t="s">
        <v>91</v>
      </c>
      <c r="J14" s="17" t="s">
        <v>81</v>
      </c>
      <c r="K14" s="158">
        <v>1920</v>
      </c>
      <c r="L14" s="158"/>
      <c r="M14" s="158" t="s">
        <v>80</v>
      </c>
      <c r="N14" s="158" t="s">
        <v>88</v>
      </c>
      <c r="O14" s="10"/>
      <c r="P14" s="4">
        <v>1.0000000000000009E-3</v>
      </c>
      <c r="Q14" s="3">
        <v>8.9999999999999993E-3</v>
      </c>
      <c r="R14" s="3">
        <v>1.6E-2</v>
      </c>
      <c r="S14" s="3">
        <v>0.02</v>
      </c>
    </row>
    <row r="15" spans="1:19" ht="14.25" customHeight="1">
      <c r="A15" s="17" t="s">
        <v>94</v>
      </c>
      <c r="B15" s="17" t="s">
        <v>89</v>
      </c>
      <c r="C15" s="158" t="s">
        <v>114</v>
      </c>
      <c r="D15" s="109">
        <v>-47.457853253204043</v>
      </c>
      <c r="E15" s="109">
        <v>-23.499323</v>
      </c>
      <c r="F15" s="17">
        <v>2015</v>
      </c>
      <c r="G15" s="19" t="s">
        <v>90</v>
      </c>
      <c r="H15" s="17" t="s">
        <v>177</v>
      </c>
      <c r="I15" s="17" t="s">
        <v>91</v>
      </c>
      <c r="J15" s="17" t="s">
        <v>81</v>
      </c>
      <c r="K15" s="158">
        <v>1920</v>
      </c>
      <c r="L15" s="158"/>
      <c r="M15" s="158" t="s">
        <v>80</v>
      </c>
      <c r="N15" s="158" t="s">
        <v>88</v>
      </c>
      <c r="O15" s="10"/>
      <c r="P15" s="4">
        <v>9.9999999999999915E-4</v>
      </c>
      <c r="Q15" s="3">
        <v>6.7000000000000002E-3</v>
      </c>
      <c r="R15" s="3">
        <v>1.2999999999999999E-2</v>
      </c>
      <c r="S15" s="3">
        <v>1.7000000000000001E-2</v>
      </c>
    </row>
    <row r="16" spans="1:19" ht="14.25" customHeight="1">
      <c r="A16" s="17" t="s">
        <v>94</v>
      </c>
      <c r="B16" s="17" t="s">
        <v>89</v>
      </c>
      <c r="C16" s="158" t="s">
        <v>16</v>
      </c>
      <c r="D16" s="5">
        <v>-25281900</v>
      </c>
      <c r="E16" s="50">
        <v>-57635000</v>
      </c>
      <c r="F16" s="17">
        <v>2015</v>
      </c>
      <c r="G16" s="19" t="s">
        <v>90</v>
      </c>
      <c r="H16" s="17" t="s">
        <v>177</v>
      </c>
      <c r="I16" s="17" t="s">
        <v>91</v>
      </c>
      <c r="J16" s="17" t="s">
        <v>81</v>
      </c>
      <c r="K16" s="158">
        <v>1920</v>
      </c>
      <c r="L16" s="158"/>
      <c r="M16" s="158" t="s">
        <v>80</v>
      </c>
      <c r="N16" s="158" t="s">
        <v>88</v>
      </c>
      <c r="O16" s="10"/>
      <c r="P16" s="4">
        <v>1.0000000000000009E-3</v>
      </c>
      <c r="Q16" s="3">
        <v>6.6E-3</v>
      </c>
      <c r="R16" s="3">
        <v>1.2E-2</v>
      </c>
      <c r="S16" s="3">
        <v>1.4999999999999999E-2</v>
      </c>
    </row>
    <row r="17" spans="1:31" ht="14.25" customHeight="1">
      <c r="A17" s="17" t="s">
        <v>94</v>
      </c>
      <c r="B17" s="17" t="s">
        <v>89</v>
      </c>
      <c r="C17" s="158" t="s">
        <v>17</v>
      </c>
      <c r="D17" s="5">
        <v>-25444440</v>
      </c>
      <c r="E17" s="50">
        <v>-56440280</v>
      </c>
      <c r="F17" s="17">
        <v>2015</v>
      </c>
      <c r="G17" s="19" t="s">
        <v>90</v>
      </c>
      <c r="H17" s="17" t="s">
        <v>177</v>
      </c>
      <c r="I17" s="17" t="s">
        <v>91</v>
      </c>
      <c r="J17" s="17" t="s">
        <v>81</v>
      </c>
      <c r="K17" s="158">
        <v>1920</v>
      </c>
      <c r="L17" s="158"/>
      <c r="M17" s="158" t="s">
        <v>80</v>
      </c>
      <c r="N17" s="158" t="s">
        <v>88</v>
      </c>
      <c r="O17" s="10"/>
      <c r="P17" s="4">
        <v>1.0000000000000009E-3</v>
      </c>
      <c r="Q17" s="3">
        <v>8.9999999999999993E-3</v>
      </c>
      <c r="R17" s="3">
        <v>1.6E-2</v>
      </c>
      <c r="S17" s="3">
        <v>0.02</v>
      </c>
    </row>
    <row r="18" spans="1:31" s="108" customFormat="1" ht="14.25" customHeight="1" thickBot="1">
      <c r="A18" s="21" t="s">
        <v>94</v>
      </c>
      <c r="B18" s="21" t="s">
        <v>89</v>
      </c>
      <c r="C18" s="11" t="s">
        <v>26</v>
      </c>
      <c r="D18" s="110">
        <v>-45.884175401459665</v>
      </c>
      <c r="E18" s="110">
        <v>-23.184061500000002</v>
      </c>
      <c r="F18" s="21">
        <v>2015</v>
      </c>
      <c r="G18" s="22" t="s">
        <v>90</v>
      </c>
      <c r="H18" s="21" t="s">
        <v>177</v>
      </c>
      <c r="I18" s="21" t="s">
        <v>91</v>
      </c>
      <c r="J18" s="21" t="s">
        <v>81</v>
      </c>
      <c r="K18" s="11">
        <v>1920</v>
      </c>
      <c r="L18" s="11"/>
      <c r="M18" s="11" t="s">
        <v>80</v>
      </c>
      <c r="N18" s="11" t="s">
        <v>88</v>
      </c>
      <c r="O18" s="30"/>
      <c r="P18" s="29">
        <v>1.0000000000000009E-3</v>
      </c>
      <c r="Q18" s="13">
        <v>8.2000000000000007E-3</v>
      </c>
      <c r="R18" s="13">
        <v>1.7000000000000001E-2</v>
      </c>
      <c r="S18" s="13">
        <v>2.3E-2</v>
      </c>
      <c r="T18" s="107"/>
      <c r="U18" s="107"/>
      <c r="V18" s="107"/>
      <c r="W18" s="107"/>
      <c r="X18" s="107"/>
      <c r="Y18" s="107"/>
      <c r="Z18" s="107"/>
      <c r="AA18" s="107"/>
      <c r="AB18" s="107"/>
      <c r="AC18" s="107"/>
      <c r="AD18" s="107"/>
      <c r="AE18" s="107"/>
    </row>
    <row r="19" spans="1:31" ht="14.25" customHeight="1">
      <c r="A19" s="17" t="s">
        <v>94</v>
      </c>
      <c r="B19" s="17" t="s">
        <v>89</v>
      </c>
      <c r="C19" s="45" t="s">
        <v>124</v>
      </c>
      <c r="D19" s="261"/>
      <c r="E19" s="262"/>
      <c r="F19" s="17">
        <v>2015</v>
      </c>
      <c r="G19" s="19" t="s">
        <v>90</v>
      </c>
      <c r="H19" s="17" t="s">
        <v>177</v>
      </c>
      <c r="I19" s="17" t="s">
        <v>91</v>
      </c>
      <c r="J19" s="158" t="s">
        <v>93</v>
      </c>
      <c r="K19" s="158">
        <v>1920</v>
      </c>
      <c r="L19" s="158"/>
      <c r="M19" s="158" t="s">
        <v>80</v>
      </c>
      <c r="N19" s="158" t="s">
        <v>88</v>
      </c>
      <c r="O19" s="5"/>
      <c r="P19" s="4">
        <v>5.0000000000000044E-3</v>
      </c>
      <c r="Q19" s="3">
        <v>3.6999999999999998E-2</v>
      </c>
      <c r="R19" s="3">
        <v>6.8000000000000005E-2</v>
      </c>
      <c r="S19" s="3">
        <v>8.7999999999999995E-2</v>
      </c>
      <c r="T19" s="107"/>
      <c r="U19" s="107"/>
      <c r="V19" s="107"/>
      <c r="W19" s="107"/>
      <c r="X19" s="107"/>
      <c r="Y19" s="107"/>
      <c r="Z19" s="107"/>
      <c r="AA19" s="107"/>
      <c r="AB19" s="107"/>
      <c r="AC19" s="107"/>
      <c r="AD19" s="107"/>
      <c r="AE19" s="107"/>
    </row>
    <row r="20" spans="1:31" ht="14.25" customHeight="1">
      <c r="A20" s="17" t="s">
        <v>94</v>
      </c>
      <c r="B20" s="17" t="s">
        <v>89</v>
      </c>
      <c r="C20" s="158" t="s">
        <v>100</v>
      </c>
      <c r="D20" s="109">
        <v>-50.439226072752582</v>
      </c>
      <c r="E20" s="109">
        <v>-21.205476000000004</v>
      </c>
      <c r="F20" s="17">
        <v>2015</v>
      </c>
      <c r="G20" s="19" t="s">
        <v>90</v>
      </c>
      <c r="H20" s="17" t="s">
        <v>177</v>
      </c>
      <c r="I20" s="17" t="s">
        <v>91</v>
      </c>
      <c r="J20" s="158" t="s">
        <v>93</v>
      </c>
      <c r="K20" s="158">
        <v>1920</v>
      </c>
      <c r="L20" s="158"/>
      <c r="M20" s="158" t="s">
        <v>80</v>
      </c>
      <c r="N20" s="158" t="s">
        <v>88</v>
      </c>
      <c r="O20" s="38"/>
      <c r="P20" s="3">
        <v>1.0000000000000009E-2</v>
      </c>
      <c r="Q20" s="4">
        <v>0.104</v>
      </c>
      <c r="R20" s="4">
        <v>0.22</v>
      </c>
      <c r="S20" s="4">
        <v>0.31</v>
      </c>
      <c r="T20" s="107"/>
      <c r="U20" s="107"/>
      <c r="V20" s="107"/>
      <c r="W20" s="107"/>
      <c r="X20" s="107"/>
      <c r="Y20" s="107"/>
      <c r="Z20" s="107"/>
      <c r="AA20" s="107"/>
      <c r="AB20" s="107"/>
      <c r="AC20" s="107"/>
      <c r="AD20" s="107"/>
      <c r="AE20" s="107"/>
    </row>
    <row r="21" spans="1:31" ht="14.25" customHeight="1">
      <c r="A21" s="17" t="s">
        <v>94</v>
      </c>
      <c r="B21" s="17" t="s">
        <v>89</v>
      </c>
      <c r="C21" s="17" t="s">
        <v>101</v>
      </c>
      <c r="D21" s="109">
        <v>-48.567377839455055</v>
      </c>
      <c r="E21" s="109">
        <v>-20.558455515000002</v>
      </c>
      <c r="F21" s="17">
        <v>2015</v>
      </c>
      <c r="G21" s="19" t="s">
        <v>90</v>
      </c>
      <c r="H21" s="17" t="s">
        <v>177</v>
      </c>
      <c r="I21" s="17" t="s">
        <v>91</v>
      </c>
      <c r="J21" s="158" t="s">
        <v>93</v>
      </c>
      <c r="K21" s="158">
        <v>1920</v>
      </c>
      <c r="L21" s="158"/>
      <c r="M21" s="158" t="s">
        <v>80</v>
      </c>
      <c r="N21" s="158" t="s">
        <v>88</v>
      </c>
      <c r="O21" s="10"/>
      <c r="P21" s="4">
        <v>1.0000000000000009E-2</v>
      </c>
      <c r="Q21" s="4">
        <v>8.2000000000000003E-2</v>
      </c>
      <c r="R21" s="4">
        <v>0.17</v>
      </c>
      <c r="S21" s="4">
        <v>0.23</v>
      </c>
      <c r="T21" s="107"/>
      <c r="U21" s="107"/>
      <c r="V21" s="107"/>
      <c r="W21" s="107"/>
      <c r="X21" s="107"/>
      <c r="Y21" s="107"/>
      <c r="Z21" s="107"/>
      <c r="AA21" s="107"/>
      <c r="AB21" s="107"/>
      <c r="AC21" s="107"/>
      <c r="AD21" s="107"/>
      <c r="AE21" s="107"/>
    </row>
    <row r="22" spans="1:31" ht="14.25" customHeight="1">
      <c r="A22" s="17" t="s">
        <v>94</v>
      </c>
      <c r="B22" s="17" t="s">
        <v>89</v>
      </c>
      <c r="C22" s="17" t="s">
        <v>102</v>
      </c>
      <c r="D22" s="109">
        <v>-49.083000867090362</v>
      </c>
      <c r="E22" s="109">
        <v>-22.325122500000006</v>
      </c>
      <c r="F22" s="17">
        <v>2015</v>
      </c>
      <c r="G22" s="19" t="s">
        <v>90</v>
      </c>
      <c r="H22" s="17" t="s">
        <v>177</v>
      </c>
      <c r="I22" s="17" t="s">
        <v>91</v>
      </c>
      <c r="J22" s="158" t="s">
        <v>93</v>
      </c>
      <c r="K22" s="158">
        <v>1920</v>
      </c>
      <c r="L22" s="158"/>
      <c r="M22" s="158" t="s">
        <v>80</v>
      </c>
      <c r="N22" s="158" t="s">
        <v>88</v>
      </c>
      <c r="O22" s="10"/>
      <c r="P22" s="4">
        <v>9.9999999999999811E-3</v>
      </c>
      <c r="Q22" s="4">
        <v>6.8000000000000005E-2</v>
      </c>
      <c r="R22" s="4">
        <v>0.15</v>
      </c>
      <c r="S22" s="4">
        <v>0.2</v>
      </c>
      <c r="T22" s="107"/>
      <c r="U22" s="107"/>
      <c r="V22" s="107"/>
      <c r="W22" s="107"/>
      <c r="X22" s="107"/>
      <c r="Y22" s="107"/>
      <c r="Z22" s="107"/>
      <c r="AA22" s="107"/>
      <c r="AB22" s="107"/>
      <c r="AC22" s="107"/>
      <c r="AD22" s="107"/>
      <c r="AE22" s="107"/>
    </row>
    <row r="23" spans="1:31" ht="14.25" customHeight="1">
      <c r="A23" s="17" t="s">
        <v>94</v>
      </c>
      <c r="B23" s="17" t="s">
        <v>89</v>
      </c>
      <c r="C23" s="17" t="s">
        <v>104</v>
      </c>
      <c r="D23" s="109">
        <v>-47.06015627297316</v>
      </c>
      <c r="E23" s="109">
        <v>-22.907342500000002</v>
      </c>
      <c r="F23" s="17">
        <v>2015</v>
      </c>
      <c r="G23" s="19" t="s">
        <v>90</v>
      </c>
      <c r="H23" s="17" t="s">
        <v>177</v>
      </c>
      <c r="I23" s="17" t="s">
        <v>91</v>
      </c>
      <c r="J23" s="158" t="s">
        <v>93</v>
      </c>
      <c r="K23" s="158">
        <v>1920</v>
      </c>
      <c r="L23" s="158"/>
      <c r="M23" s="158" t="s">
        <v>80</v>
      </c>
      <c r="N23" s="158" t="s">
        <v>88</v>
      </c>
      <c r="O23" s="10"/>
      <c r="P23" s="4">
        <v>1.0000000000000009E-2</v>
      </c>
      <c r="Q23" s="4">
        <v>8.7999999999999995E-2</v>
      </c>
      <c r="R23" s="4">
        <v>0.17</v>
      </c>
      <c r="S23" s="4">
        <v>0.22</v>
      </c>
      <c r="T23" s="107"/>
      <c r="U23" s="107"/>
      <c r="V23" s="107"/>
      <c r="W23" s="107"/>
      <c r="X23" s="107"/>
      <c r="Y23" s="107"/>
      <c r="Z23" s="107"/>
      <c r="AA23" s="107"/>
      <c r="AB23" s="107"/>
      <c r="AC23" s="107"/>
      <c r="AD23" s="107"/>
      <c r="AE23" s="107"/>
    </row>
    <row r="24" spans="1:31" ht="14.25" customHeight="1">
      <c r="A24" s="17" t="s">
        <v>94</v>
      </c>
      <c r="B24" s="17" t="s">
        <v>89</v>
      </c>
      <c r="C24" s="17" t="s">
        <v>25</v>
      </c>
      <c r="D24" s="109">
        <v>-49.951645643103269</v>
      </c>
      <c r="E24" s="109">
        <v>-22.214933000000002</v>
      </c>
      <c r="F24" s="17">
        <v>2015</v>
      </c>
      <c r="G24" s="19" t="s">
        <v>90</v>
      </c>
      <c r="H24" s="17" t="s">
        <v>177</v>
      </c>
      <c r="I24" s="17" t="s">
        <v>91</v>
      </c>
      <c r="J24" s="158" t="s">
        <v>93</v>
      </c>
      <c r="K24" s="158">
        <v>1920</v>
      </c>
      <c r="L24" s="158"/>
      <c r="M24" s="158" t="s">
        <v>80</v>
      </c>
      <c r="N24" s="158" t="s">
        <v>88</v>
      </c>
      <c r="O24" s="10"/>
      <c r="P24" s="4">
        <v>9.9999999999999811E-3</v>
      </c>
      <c r="Q24" s="3">
        <v>0.11</v>
      </c>
      <c r="R24" s="3">
        <v>0.21</v>
      </c>
      <c r="S24" s="3">
        <v>0.28999999999999998</v>
      </c>
      <c r="T24" s="107"/>
      <c r="U24" s="107"/>
      <c r="V24" s="107"/>
      <c r="W24" s="107"/>
      <c r="X24" s="107"/>
      <c r="Y24" s="107"/>
      <c r="Z24" s="107"/>
      <c r="AA24" s="107"/>
      <c r="AB24" s="107"/>
      <c r="AC24" s="107"/>
      <c r="AD24" s="107"/>
      <c r="AE24" s="107"/>
    </row>
    <row r="25" spans="1:31" ht="14.25" customHeight="1">
      <c r="A25" s="17" t="s">
        <v>94</v>
      </c>
      <c r="B25" s="17" t="s">
        <v>89</v>
      </c>
      <c r="C25" s="17" t="s">
        <v>95</v>
      </c>
      <c r="D25" s="109">
        <v>-46.570383182112749</v>
      </c>
      <c r="E25" s="109">
        <v>-23.567386500000001</v>
      </c>
      <c r="F25" s="17">
        <v>2015</v>
      </c>
      <c r="G25" s="19" t="s">
        <v>90</v>
      </c>
      <c r="H25" s="17" t="s">
        <v>177</v>
      </c>
      <c r="I25" s="17" t="s">
        <v>91</v>
      </c>
      <c r="J25" s="158" t="s">
        <v>93</v>
      </c>
      <c r="K25" s="158">
        <v>1920</v>
      </c>
      <c r="L25" s="158"/>
      <c r="M25" s="158" t="s">
        <v>80</v>
      </c>
      <c r="N25" s="158" t="s">
        <v>88</v>
      </c>
      <c r="O25" s="10"/>
      <c r="P25" s="4">
        <v>9.000000000000008E-3</v>
      </c>
      <c r="Q25" s="3">
        <v>6.6000000000000003E-2</v>
      </c>
      <c r="R25" s="3">
        <v>0.13400000000000001</v>
      </c>
      <c r="S25" s="3">
        <v>0.18</v>
      </c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ht="14.25" customHeight="1">
      <c r="A26" s="17" t="s">
        <v>94</v>
      </c>
      <c r="B26" s="17" t="s">
        <v>89</v>
      </c>
      <c r="C26" s="17" t="s">
        <v>108</v>
      </c>
      <c r="D26" s="109">
        <v>-51.386765581912492</v>
      </c>
      <c r="E26" s="109">
        <v>-22.122743500000002</v>
      </c>
      <c r="F26" s="17">
        <v>2015</v>
      </c>
      <c r="G26" s="19" t="s">
        <v>90</v>
      </c>
      <c r="H26" s="17" t="s">
        <v>177</v>
      </c>
      <c r="I26" s="17" t="s">
        <v>91</v>
      </c>
      <c r="J26" s="158" t="s">
        <v>93</v>
      </c>
      <c r="K26" s="158">
        <v>1920</v>
      </c>
      <c r="L26" s="158"/>
      <c r="M26" s="158" t="s">
        <v>80</v>
      </c>
      <c r="N26" s="158" t="s">
        <v>88</v>
      </c>
      <c r="O26" s="10"/>
      <c r="P26" s="3">
        <v>9.9999999999999811E-3</v>
      </c>
      <c r="Q26" s="3">
        <v>8.8999999999999996E-2</v>
      </c>
      <c r="R26" s="3">
        <v>0.18</v>
      </c>
      <c r="S26" s="3">
        <v>0.24</v>
      </c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</row>
    <row r="27" spans="1:31" ht="14.25" customHeight="1">
      <c r="A27" s="17" t="s">
        <v>94</v>
      </c>
      <c r="B27" s="17" t="s">
        <v>89</v>
      </c>
      <c r="C27" s="158" t="s">
        <v>175</v>
      </c>
      <c r="D27" s="109">
        <v>-47.841054751674982</v>
      </c>
      <c r="E27" s="109">
        <v>-24.494251427999906</v>
      </c>
      <c r="F27" s="17">
        <v>2015</v>
      </c>
      <c r="G27" s="19" t="s">
        <v>90</v>
      </c>
      <c r="H27" s="17" t="s">
        <v>177</v>
      </c>
      <c r="I27" s="17" t="s">
        <v>91</v>
      </c>
      <c r="J27" s="158" t="s">
        <v>93</v>
      </c>
      <c r="K27" s="158">
        <v>1920</v>
      </c>
      <c r="L27" s="158"/>
      <c r="M27" s="158" t="s">
        <v>80</v>
      </c>
      <c r="N27" s="158" t="s">
        <v>88</v>
      </c>
      <c r="O27" s="10"/>
      <c r="P27" s="3">
        <v>9.9999999999999811E-3</v>
      </c>
      <c r="Q27" s="3">
        <v>7.5999999999999998E-2</v>
      </c>
      <c r="R27" s="3">
        <v>0.15</v>
      </c>
      <c r="S27" s="3">
        <v>0.22</v>
      </c>
      <c r="T27" s="107"/>
      <c r="U27" s="107"/>
      <c r="V27" s="107"/>
      <c r="W27" s="107"/>
      <c r="X27" s="107"/>
      <c r="Y27" s="107"/>
      <c r="Z27" s="107"/>
      <c r="AA27" s="107"/>
      <c r="AB27" s="107"/>
      <c r="AC27" s="107"/>
      <c r="AD27" s="107"/>
      <c r="AE27" s="107"/>
    </row>
    <row r="28" spans="1:31" ht="14.25" customHeight="1">
      <c r="A28" s="17" t="s">
        <v>94</v>
      </c>
      <c r="B28" s="17" t="s">
        <v>89</v>
      </c>
      <c r="C28" s="158" t="s">
        <v>109</v>
      </c>
      <c r="D28" s="109">
        <v>-47.805475915541528</v>
      </c>
      <c r="E28" s="109">
        <v>-21.184834500000004</v>
      </c>
      <c r="F28" s="17">
        <v>2015</v>
      </c>
      <c r="G28" s="19" t="s">
        <v>90</v>
      </c>
      <c r="H28" s="17" t="s">
        <v>177</v>
      </c>
      <c r="I28" s="17" t="s">
        <v>91</v>
      </c>
      <c r="J28" s="158" t="s">
        <v>93</v>
      </c>
      <c r="K28" s="158">
        <v>1920</v>
      </c>
      <c r="L28" s="158"/>
      <c r="M28" s="158" t="s">
        <v>80</v>
      </c>
      <c r="N28" s="158" t="s">
        <v>88</v>
      </c>
      <c r="O28" s="10"/>
      <c r="P28" s="3">
        <v>9.9999999999999811E-3</v>
      </c>
      <c r="Q28" s="3">
        <v>7.5999999999999998E-2</v>
      </c>
      <c r="R28" s="3">
        <v>0.18</v>
      </c>
      <c r="S28" s="3">
        <v>0.26</v>
      </c>
      <c r="T28" s="107"/>
      <c r="U28" s="107"/>
      <c r="V28" s="107"/>
      <c r="W28" s="107"/>
      <c r="X28" s="107"/>
      <c r="Y28" s="107"/>
      <c r="Z28" s="107"/>
      <c r="AA28" s="107"/>
      <c r="AB28" s="107"/>
      <c r="AC28" s="107"/>
      <c r="AD28" s="107"/>
      <c r="AE28" s="107"/>
    </row>
    <row r="29" spans="1:31" ht="14.25" customHeight="1">
      <c r="A29" s="17" t="s">
        <v>94</v>
      </c>
      <c r="B29" s="17" t="s">
        <v>89</v>
      </c>
      <c r="C29" s="158" t="s">
        <v>110</v>
      </c>
      <c r="D29" s="109">
        <v>-46.331370849190684</v>
      </c>
      <c r="E29" s="109">
        <v>-23.933737500000003</v>
      </c>
      <c r="F29" s="17">
        <v>2015</v>
      </c>
      <c r="G29" s="19" t="s">
        <v>90</v>
      </c>
      <c r="H29" s="17" t="s">
        <v>177</v>
      </c>
      <c r="I29" s="17" t="s">
        <v>91</v>
      </c>
      <c r="J29" s="158" t="s">
        <v>93</v>
      </c>
      <c r="K29" s="158">
        <v>1920</v>
      </c>
      <c r="L29" s="158"/>
      <c r="M29" s="158" t="s">
        <v>80</v>
      </c>
      <c r="N29" s="158" t="s">
        <v>88</v>
      </c>
      <c r="O29" s="10"/>
      <c r="P29" s="3">
        <v>1.0000000000000009E-2</v>
      </c>
      <c r="Q29" s="3">
        <v>6.5000000000000002E-2</v>
      </c>
      <c r="R29" s="3">
        <v>0.14000000000000001</v>
      </c>
      <c r="S29" s="3">
        <v>0.2</v>
      </c>
      <c r="T29" s="107"/>
      <c r="U29" s="107"/>
      <c r="V29" s="107"/>
      <c r="W29" s="107"/>
      <c r="X29" s="107"/>
      <c r="Y29" s="107"/>
      <c r="Z29" s="107"/>
      <c r="AA29" s="107"/>
      <c r="AB29" s="107"/>
      <c r="AC29" s="107"/>
      <c r="AD29" s="107"/>
      <c r="AE29" s="107"/>
    </row>
    <row r="30" spans="1:31" ht="14.25" customHeight="1">
      <c r="A30" s="17" t="s">
        <v>94</v>
      </c>
      <c r="B30" s="17" t="s">
        <v>89</v>
      </c>
      <c r="C30" s="67" t="s">
        <v>131</v>
      </c>
      <c r="D30" s="109">
        <v>-49.381347685025794</v>
      </c>
      <c r="E30" s="109">
        <v>-20.812636500000004</v>
      </c>
      <c r="F30" s="17">
        <v>2015</v>
      </c>
      <c r="G30" s="19" t="s">
        <v>90</v>
      </c>
      <c r="H30" s="17" t="s">
        <v>177</v>
      </c>
      <c r="I30" s="17" t="s">
        <v>91</v>
      </c>
      <c r="J30" s="158" t="s">
        <v>93</v>
      </c>
      <c r="K30" s="158">
        <v>1920</v>
      </c>
      <c r="L30" s="158"/>
      <c r="M30" s="158" t="s">
        <v>80</v>
      </c>
      <c r="N30" s="158" t="s">
        <v>88</v>
      </c>
      <c r="O30" s="10"/>
      <c r="P30" s="4">
        <v>9.000000000000008E-3</v>
      </c>
      <c r="Q30" s="3">
        <v>7.8E-2</v>
      </c>
      <c r="R30" s="3">
        <v>0.157</v>
      </c>
      <c r="S30" s="3">
        <v>0.20899999999999999</v>
      </c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pans="1:31" ht="14.25" customHeight="1" thickBot="1">
      <c r="A31" s="21" t="s">
        <v>94</v>
      </c>
      <c r="B31" s="21" t="s">
        <v>89</v>
      </c>
      <c r="C31" s="11" t="s">
        <v>114</v>
      </c>
      <c r="D31" s="110">
        <v>-47.457853253204043</v>
      </c>
      <c r="E31" s="110">
        <v>-23.499323</v>
      </c>
      <c r="F31" s="21">
        <v>2015</v>
      </c>
      <c r="G31" s="22" t="s">
        <v>90</v>
      </c>
      <c r="H31" s="21" t="s">
        <v>177</v>
      </c>
      <c r="I31" s="21" t="s">
        <v>91</v>
      </c>
      <c r="J31" s="11" t="s">
        <v>93</v>
      </c>
      <c r="K31" s="11">
        <v>1920</v>
      </c>
      <c r="L31" s="11"/>
      <c r="M31" s="11" t="s">
        <v>80</v>
      </c>
      <c r="N31" s="11" t="s">
        <v>88</v>
      </c>
      <c r="O31" s="30"/>
      <c r="P31" s="29">
        <v>2.0000000000000018E-2</v>
      </c>
      <c r="Q31" s="13">
        <v>7.4999999999999997E-2</v>
      </c>
      <c r="R31" s="13">
        <v>0.2</v>
      </c>
      <c r="S31" s="13">
        <v>0.28999999999999998</v>
      </c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  <row r="32" spans="1:31" ht="14.25" customHeight="1">
      <c r="A32" s="17" t="s">
        <v>94</v>
      </c>
      <c r="B32" s="32" t="s">
        <v>89</v>
      </c>
      <c r="C32" s="10" t="s">
        <v>113</v>
      </c>
      <c r="D32" s="127">
        <v>-45.402680140543957</v>
      </c>
      <c r="E32" s="127">
        <v>-23.806687652148753</v>
      </c>
      <c r="F32" s="32">
        <v>2015</v>
      </c>
      <c r="G32" s="33" t="s">
        <v>90</v>
      </c>
      <c r="H32" s="18" t="s">
        <v>188</v>
      </c>
      <c r="I32" s="32" t="s">
        <v>43</v>
      </c>
      <c r="J32" s="32" t="s">
        <v>21</v>
      </c>
      <c r="K32" s="27">
        <v>240</v>
      </c>
      <c r="L32" s="31">
        <v>5</v>
      </c>
      <c r="M32" s="34" t="s">
        <v>11</v>
      </c>
      <c r="N32" s="34" t="s">
        <v>38</v>
      </c>
      <c r="O32" s="28">
        <v>11</v>
      </c>
      <c r="P32" s="28">
        <v>120.40000000000003</v>
      </c>
      <c r="Q32" s="28">
        <v>99.64</v>
      </c>
      <c r="R32" s="28">
        <v>526.16999999999996</v>
      </c>
      <c r="S32" s="28">
        <v>1048.45</v>
      </c>
    </row>
    <row r="33" spans="1:19" ht="14.25" customHeight="1">
      <c r="A33" s="17" t="s">
        <v>94</v>
      </c>
      <c r="B33" s="17" t="s">
        <v>89</v>
      </c>
      <c r="C33" s="28" t="s">
        <v>108</v>
      </c>
      <c r="D33" s="109">
        <v>-51.386765581912492</v>
      </c>
      <c r="E33" s="109">
        <v>-22.122743500000002</v>
      </c>
      <c r="F33" s="17">
        <v>2015</v>
      </c>
      <c r="G33" s="19" t="s">
        <v>90</v>
      </c>
      <c r="H33" s="18" t="s">
        <v>188</v>
      </c>
      <c r="I33" s="17" t="s">
        <v>43</v>
      </c>
      <c r="J33" s="17" t="s">
        <v>21</v>
      </c>
      <c r="K33" s="158">
        <v>240</v>
      </c>
      <c r="L33" s="31">
        <v>5</v>
      </c>
      <c r="M33" s="158" t="s">
        <v>11</v>
      </c>
      <c r="N33" s="158" t="s">
        <v>38</v>
      </c>
      <c r="O33" s="28">
        <v>27.3</v>
      </c>
      <c r="P33" s="24">
        <v>41.799999999999983</v>
      </c>
      <c r="Q33" s="28">
        <v>59.68</v>
      </c>
      <c r="R33" s="28">
        <v>306.60000000000002</v>
      </c>
      <c r="S33" s="28">
        <v>604</v>
      </c>
    </row>
    <row r="34" spans="1:19" ht="14.25" customHeight="1">
      <c r="A34" s="17" t="s">
        <v>94</v>
      </c>
      <c r="B34" s="17" t="s">
        <v>89</v>
      </c>
      <c r="C34" s="10" t="s">
        <v>100</v>
      </c>
      <c r="D34" s="109">
        <v>-50.439226072752582</v>
      </c>
      <c r="E34" s="109">
        <v>-21.205476000000004</v>
      </c>
      <c r="F34" s="17">
        <v>2015</v>
      </c>
      <c r="G34" s="19" t="s">
        <v>90</v>
      </c>
      <c r="H34" s="18" t="s">
        <v>188</v>
      </c>
      <c r="I34" s="17" t="s">
        <v>43</v>
      </c>
      <c r="J34" s="17" t="s">
        <v>21</v>
      </c>
      <c r="K34" s="158">
        <v>240</v>
      </c>
      <c r="L34" s="31">
        <v>5</v>
      </c>
      <c r="M34" s="158" t="s">
        <v>11</v>
      </c>
      <c r="N34" s="158" t="s">
        <v>38</v>
      </c>
      <c r="O34" s="28">
        <v>27.7</v>
      </c>
      <c r="P34" s="28">
        <v>33.799999999999983</v>
      </c>
      <c r="Q34" s="28">
        <v>57.23</v>
      </c>
      <c r="R34" s="28">
        <v>220.36</v>
      </c>
      <c r="S34" s="28">
        <v>385.23</v>
      </c>
    </row>
    <row r="35" spans="1:19" ht="14.25" customHeight="1">
      <c r="A35" s="17" t="s">
        <v>94</v>
      </c>
      <c r="B35" s="17" t="s">
        <v>89</v>
      </c>
      <c r="C35" s="10" t="s">
        <v>110</v>
      </c>
      <c r="D35" s="109">
        <v>-46.331370849190684</v>
      </c>
      <c r="E35" s="109">
        <v>-23.933737500000003</v>
      </c>
      <c r="F35" s="17">
        <v>2015</v>
      </c>
      <c r="G35" s="19" t="s">
        <v>90</v>
      </c>
      <c r="H35" s="18" t="s">
        <v>188</v>
      </c>
      <c r="I35" s="17" t="s">
        <v>43</v>
      </c>
      <c r="J35" s="17" t="s">
        <v>21</v>
      </c>
      <c r="K35" s="158">
        <v>240</v>
      </c>
      <c r="L35" s="31">
        <v>5</v>
      </c>
      <c r="M35" s="158" t="s">
        <v>11</v>
      </c>
      <c r="N35" s="158" t="s">
        <v>38</v>
      </c>
      <c r="O35" s="28">
        <v>23.2</v>
      </c>
      <c r="P35" s="24">
        <v>120.40000000000003</v>
      </c>
      <c r="Q35" s="28">
        <v>62.73</v>
      </c>
      <c r="R35" s="28">
        <v>284.47000000000003</v>
      </c>
      <c r="S35" s="28">
        <v>532.20000000000005</v>
      </c>
    </row>
    <row r="36" spans="1:19" ht="14.25" customHeight="1">
      <c r="A36" s="17" t="s">
        <v>94</v>
      </c>
      <c r="B36" s="17" t="s">
        <v>89</v>
      </c>
      <c r="C36" s="28" t="s">
        <v>102</v>
      </c>
      <c r="D36" s="109">
        <v>-49.083000867090362</v>
      </c>
      <c r="E36" s="109">
        <v>-22.325122500000006</v>
      </c>
      <c r="F36" s="17">
        <v>2015</v>
      </c>
      <c r="G36" s="19" t="s">
        <v>90</v>
      </c>
      <c r="H36" s="18" t="s">
        <v>188</v>
      </c>
      <c r="I36" s="17" t="s">
        <v>43</v>
      </c>
      <c r="J36" s="17" t="s">
        <v>21</v>
      </c>
      <c r="K36" s="158">
        <v>240</v>
      </c>
      <c r="L36" s="31">
        <v>5</v>
      </c>
      <c r="M36" s="158" t="s">
        <v>11</v>
      </c>
      <c r="N36" s="158" t="s">
        <v>38</v>
      </c>
      <c r="O36" s="28">
        <v>43.4</v>
      </c>
      <c r="P36" s="28">
        <v>26.300000000000011</v>
      </c>
      <c r="Q36" s="28">
        <v>42.33</v>
      </c>
      <c r="R36" s="28">
        <v>208.6</v>
      </c>
      <c r="S36" s="28">
        <v>403.8</v>
      </c>
    </row>
    <row r="37" spans="1:19" ht="14.25" customHeight="1">
      <c r="A37" s="17" t="s">
        <v>94</v>
      </c>
      <c r="B37" s="17" t="s">
        <v>89</v>
      </c>
      <c r="C37" s="17" t="s">
        <v>25</v>
      </c>
      <c r="D37" s="109">
        <v>-49.951645643103269</v>
      </c>
      <c r="E37" s="109">
        <v>-22.214933000000002</v>
      </c>
      <c r="F37" s="17">
        <v>2015</v>
      </c>
      <c r="G37" s="19" t="s">
        <v>90</v>
      </c>
      <c r="H37" s="18" t="s">
        <v>188</v>
      </c>
      <c r="I37" s="17" t="s">
        <v>43</v>
      </c>
      <c r="J37" s="17" t="s">
        <v>21</v>
      </c>
      <c r="K37" s="158">
        <v>240</v>
      </c>
      <c r="L37" s="31">
        <v>5</v>
      </c>
      <c r="M37" s="158" t="s">
        <v>11</v>
      </c>
      <c r="N37" s="158" t="s">
        <v>38</v>
      </c>
      <c r="O37" s="28">
        <v>44.4</v>
      </c>
      <c r="P37" s="28">
        <v>26.3</v>
      </c>
      <c r="Q37" s="28">
        <v>36</v>
      </c>
      <c r="R37" s="28">
        <v>189.9</v>
      </c>
      <c r="S37" s="28">
        <v>378.4</v>
      </c>
    </row>
    <row r="38" spans="1:19" ht="14.25" customHeight="1">
      <c r="A38" s="17" t="s">
        <v>94</v>
      </c>
      <c r="B38" s="17" t="s">
        <v>89</v>
      </c>
      <c r="C38" s="28" t="s">
        <v>104</v>
      </c>
      <c r="D38" s="109">
        <v>-47.06015627297316</v>
      </c>
      <c r="E38" s="109">
        <v>-22.907342500000002</v>
      </c>
      <c r="F38" s="17">
        <v>2015</v>
      </c>
      <c r="G38" s="19" t="s">
        <v>90</v>
      </c>
      <c r="H38" s="18" t="s">
        <v>188</v>
      </c>
      <c r="I38" s="17" t="s">
        <v>43</v>
      </c>
      <c r="J38" s="17" t="s">
        <v>21</v>
      </c>
      <c r="K38" s="158">
        <v>240</v>
      </c>
      <c r="L38" s="31">
        <v>5</v>
      </c>
      <c r="M38" s="158" t="s">
        <v>11</v>
      </c>
      <c r="N38" s="158" t="s">
        <v>38</v>
      </c>
      <c r="O38" s="28">
        <v>32.4</v>
      </c>
      <c r="P38" s="24">
        <v>26.300000000000011</v>
      </c>
      <c r="Q38" s="28">
        <v>44.69</v>
      </c>
      <c r="R38" s="28">
        <v>194.62</v>
      </c>
      <c r="S38" s="28">
        <v>358.01</v>
      </c>
    </row>
    <row r="39" spans="1:19" ht="14.25" customHeight="1">
      <c r="A39" s="17" t="s">
        <v>94</v>
      </c>
      <c r="B39" s="17" t="s">
        <v>89</v>
      </c>
      <c r="C39" s="10" t="s">
        <v>114</v>
      </c>
      <c r="D39" s="127">
        <v>-47.457853253204043</v>
      </c>
      <c r="E39" s="127">
        <v>-23.499323</v>
      </c>
      <c r="F39" s="17">
        <v>2015</v>
      </c>
      <c r="G39" s="19" t="s">
        <v>90</v>
      </c>
      <c r="H39" s="18" t="s">
        <v>188</v>
      </c>
      <c r="I39" s="17" t="s">
        <v>43</v>
      </c>
      <c r="J39" s="17" t="s">
        <v>21</v>
      </c>
      <c r="K39" s="158">
        <v>240</v>
      </c>
      <c r="L39" s="31">
        <v>5</v>
      </c>
      <c r="M39" s="158" t="s">
        <v>11</v>
      </c>
      <c r="N39" s="158" t="s">
        <v>38</v>
      </c>
      <c r="O39" s="28">
        <v>51.4</v>
      </c>
      <c r="P39" s="28">
        <v>22.5</v>
      </c>
      <c r="Q39" s="28">
        <v>38.76</v>
      </c>
      <c r="R39" s="28">
        <v>172.9</v>
      </c>
      <c r="S39" s="28">
        <v>321.49</v>
      </c>
    </row>
    <row r="40" spans="1:19" ht="14.25" customHeight="1">
      <c r="A40" s="17" t="s">
        <v>94</v>
      </c>
      <c r="B40" s="17" t="s">
        <v>89</v>
      </c>
      <c r="C40" s="28" t="s">
        <v>101</v>
      </c>
      <c r="D40" s="109">
        <v>-48.567377839455055</v>
      </c>
      <c r="E40" s="109">
        <v>-20.558455515000002</v>
      </c>
      <c r="F40" s="17">
        <v>2015</v>
      </c>
      <c r="G40" s="19" t="s">
        <v>90</v>
      </c>
      <c r="H40" s="18" t="s">
        <v>188</v>
      </c>
      <c r="I40" s="17" t="s">
        <v>43</v>
      </c>
      <c r="J40" s="17" t="s">
        <v>21</v>
      </c>
      <c r="K40" s="158">
        <v>240</v>
      </c>
      <c r="L40" s="31">
        <v>5</v>
      </c>
      <c r="M40" s="158" t="s">
        <v>11</v>
      </c>
      <c r="N40" s="158" t="s">
        <v>38</v>
      </c>
      <c r="O40" s="28">
        <v>54.4</v>
      </c>
      <c r="P40" s="28">
        <v>24.5</v>
      </c>
      <c r="Q40" s="28">
        <v>35.64</v>
      </c>
      <c r="R40" s="28">
        <v>177.28</v>
      </c>
      <c r="S40" s="28">
        <v>344.6</v>
      </c>
    </row>
    <row r="41" spans="1:19" ht="14.25" customHeight="1">
      <c r="A41" s="17" t="s">
        <v>94</v>
      </c>
      <c r="B41" s="17" t="s">
        <v>89</v>
      </c>
      <c r="C41" s="158" t="s">
        <v>109</v>
      </c>
      <c r="D41" s="109">
        <v>-47.805475915541528</v>
      </c>
      <c r="E41" s="109">
        <v>-21.184834500000004</v>
      </c>
      <c r="F41" s="17">
        <v>2015</v>
      </c>
      <c r="G41" s="19" t="s">
        <v>90</v>
      </c>
      <c r="H41" s="18" t="s">
        <v>188</v>
      </c>
      <c r="I41" s="17" t="s">
        <v>43</v>
      </c>
      <c r="J41" s="17" t="s">
        <v>21</v>
      </c>
      <c r="K41" s="158">
        <v>240</v>
      </c>
      <c r="L41" s="31">
        <v>5</v>
      </c>
      <c r="M41" s="158" t="s">
        <v>11</v>
      </c>
      <c r="N41" s="158" t="s">
        <v>38</v>
      </c>
      <c r="O41" s="28">
        <v>46.4</v>
      </c>
      <c r="P41" s="24">
        <v>27.900000000000006</v>
      </c>
      <c r="Q41" s="10">
        <v>31.63</v>
      </c>
      <c r="R41" s="10">
        <v>215.55</v>
      </c>
      <c r="S41" s="10">
        <v>477.42</v>
      </c>
    </row>
    <row r="42" spans="1:19" ht="14.25" customHeight="1">
      <c r="A42" s="17" t="s">
        <v>94</v>
      </c>
      <c r="B42" s="17" t="s">
        <v>89</v>
      </c>
      <c r="C42" s="67" t="s">
        <v>131</v>
      </c>
      <c r="D42" s="109">
        <v>-49.381347685025794</v>
      </c>
      <c r="E42" s="109">
        <v>-20.812636500000004</v>
      </c>
      <c r="F42" s="17">
        <v>2015</v>
      </c>
      <c r="G42" s="19" t="s">
        <v>90</v>
      </c>
      <c r="H42" s="18" t="s">
        <v>188</v>
      </c>
      <c r="I42" s="17" t="s">
        <v>43</v>
      </c>
      <c r="J42" s="17" t="s">
        <v>21</v>
      </c>
      <c r="K42" s="158">
        <v>240</v>
      </c>
      <c r="L42" s="31">
        <v>5</v>
      </c>
      <c r="M42" s="158" t="s">
        <v>11</v>
      </c>
      <c r="N42" s="158" t="s">
        <v>38</v>
      </c>
      <c r="O42" s="28">
        <v>40.4</v>
      </c>
      <c r="P42" s="24">
        <v>22.5</v>
      </c>
      <c r="Q42" s="28">
        <v>36.729999999999997</v>
      </c>
      <c r="R42" s="28">
        <v>187.5</v>
      </c>
      <c r="S42" s="28">
        <v>368.46</v>
      </c>
    </row>
    <row r="43" spans="1:19" ht="14.25" customHeight="1">
      <c r="A43" s="17" t="s">
        <v>94</v>
      </c>
      <c r="B43" s="17" t="s">
        <v>89</v>
      </c>
      <c r="C43" s="28" t="s">
        <v>95</v>
      </c>
      <c r="D43" s="109">
        <v>-46.570383182112749</v>
      </c>
      <c r="E43" s="109">
        <v>-23.567386500000001</v>
      </c>
      <c r="F43" s="17">
        <v>2015</v>
      </c>
      <c r="G43" s="19" t="s">
        <v>90</v>
      </c>
      <c r="H43" s="18" t="s">
        <v>188</v>
      </c>
      <c r="I43" s="17" t="s">
        <v>43</v>
      </c>
      <c r="J43" s="17" t="s">
        <v>21</v>
      </c>
      <c r="K43" s="158">
        <v>240</v>
      </c>
      <c r="L43" s="31">
        <v>5</v>
      </c>
      <c r="M43" s="158" t="s">
        <v>11</v>
      </c>
      <c r="N43" s="158" t="s">
        <v>38</v>
      </c>
      <c r="O43" s="28">
        <v>57.2</v>
      </c>
      <c r="P43" s="24">
        <v>36</v>
      </c>
      <c r="Q43" s="28">
        <v>26.51</v>
      </c>
      <c r="R43" s="28">
        <v>124.16</v>
      </c>
      <c r="S43" s="28">
        <v>235.41</v>
      </c>
    </row>
    <row r="44" spans="1:19" ht="14.25" customHeight="1" thickBot="1">
      <c r="A44" s="21" t="s">
        <v>94</v>
      </c>
      <c r="B44" s="21" t="s">
        <v>89</v>
      </c>
      <c r="C44" s="30" t="s">
        <v>175</v>
      </c>
      <c r="D44" s="110">
        <v>-47.841054751674982</v>
      </c>
      <c r="E44" s="110">
        <v>-24.494251427999906</v>
      </c>
      <c r="F44" s="21">
        <v>2015</v>
      </c>
      <c r="G44" s="22" t="s">
        <v>90</v>
      </c>
      <c r="H44" s="21" t="s">
        <v>188</v>
      </c>
      <c r="I44" s="21" t="s">
        <v>43</v>
      </c>
      <c r="J44" s="21" t="s">
        <v>21</v>
      </c>
      <c r="K44" s="11">
        <v>240</v>
      </c>
      <c r="L44" s="30">
        <v>5</v>
      </c>
      <c r="M44" s="11" t="s">
        <v>11</v>
      </c>
      <c r="N44" s="11" t="s">
        <v>38</v>
      </c>
      <c r="O44" s="25">
        <v>70.8</v>
      </c>
      <c r="P44" s="25">
        <v>44.599999999999994</v>
      </c>
      <c r="Q44" s="25">
        <v>11.23</v>
      </c>
      <c r="R44" s="25">
        <v>159.9</v>
      </c>
      <c r="S44" s="25">
        <v>480.97</v>
      </c>
    </row>
    <row r="45" spans="1:19" ht="14.25" customHeight="1">
      <c r="A45" s="17" t="s">
        <v>94</v>
      </c>
      <c r="B45" s="32" t="s">
        <v>89</v>
      </c>
      <c r="C45" s="45" t="s">
        <v>124</v>
      </c>
      <c r="D45" s="261"/>
      <c r="E45" s="262"/>
      <c r="F45" s="32">
        <v>2015</v>
      </c>
      <c r="G45" s="33" t="s">
        <v>90</v>
      </c>
      <c r="H45" s="17"/>
      <c r="I45" s="17" t="s">
        <v>43</v>
      </c>
      <c r="J45" s="32" t="s">
        <v>93</v>
      </c>
      <c r="K45" s="158">
        <v>240</v>
      </c>
      <c r="L45" s="10">
        <v>12</v>
      </c>
      <c r="M45" s="158" t="s">
        <v>11</v>
      </c>
      <c r="N45" s="158" t="s">
        <v>38</v>
      </c>
      <c r="O45" s="50">
        <v>100</v>
      </c>
      <c r="P45" s="28">
        <v>0</v>
      </c>
      <c r="Q45" s="28"/>
      <c r="R45" s="28"/>
      <c r="S45" s="28"/>
    </row>
    <row r="46" spans="1:19" ht="14.25" customHeight="1">
      <c r="A46" s="17" t="s">
        <v>94</v>
      </c>
      <c r="B46" s="17" t="s">
        <v>89</v>
      </c>
      <c r="C46" s="10" t="s">
        <v>113</v>
      </c>
      <c r="D46" s="127">
        <v>-45.402680140543957</v>
      </c>
      <c r="E46" s="127">
        <v>-23.806687652148753</v>
      </c>
      <c r="F46" s="17">
        <v>2015</v>
      </c>
      <c r="G46" s="19" t="s">
        <v>90</v>
      </c>
      <c r="H46" s="18" t="s">
        <v>188</v>
      </c>
      <c r="I46" s="17" t="s">
        <v>43</v>
      </c>
      <c r="J46" s="17" t="s">
        <v>93</v>
      </c>
      <c r="K46" s="158">
        <v>240</v>
      </c>
      <c r="L46" s="10">
        <v>12</v>
      </c>
      <c r="M46" s="158" t="s">
        <v>11</v>
      </c>
      <c r="N46" s="158" t="s">
        <v>38</v>
      </c>
      <c r="O46" s="48">
        <v>98.4</v>
      </c>
      <c r="P46" s="28">
        <v>2.5</v>
      </c>
      <c r="Q46" s="28"/>
      <c r="R46" s="28"/>
      <c r="S46" s="28"/>
    </row>
    <row r="47" spans="1:19" ht="14.25" customHeight="1">
      <c r="A47" s="17" t="s">
        <v>94</v>
      </c>
      <c r="B47" s="17" t="s">
        <v>89</v>
      </c>
      <c r="C47" s="28" t="s">
        <v>108</v>
      </c>
      <c r="D47" s="109">
        <v>-51.386765581912492</v>
      </c>
      <c r="E47" s="109">
        <v>-22.122743500000002</v>
      </c>
      <c r="F47" s="17">
        <v>2015</v>
      </c>
      <c r="G47" s="19" t="s">
        <v>90</v>
      </c>
      <c r="H47" s="18" t="s">
        <v>188</v>
      </c>
      <c r="I47" s="17" t="s">
        <v>43</v>
      </c>
      <c r="J47" s="17" t="s">
        <v>93</v>
      </c>
      <c r="K47" s="158">
        <v>240</v>
      </c>
      <c r="L47" s="10">
        <v>12</v>
      </c>
      <c r="M47" s="158" t="s">
        <v>11</v>
      </c>
      <c r="N47" s="158" t="s">
        <v>38</v>
      </c>
      <c r="O47" s="48">
        <v>98.3</v>
      </c>
      <c r="P47" s="28">
        <v>2.1</v>
      </c>
      <c r="Q47" s="28"/>
      <c r="R47" s="17"/>
      <c r="S47" s="17"/>
    </row>
    <row r="48" spans="1:19" ht="14.25" customHeight="1">
      <c r="A48" s="17" t="s">
        <v>94</v>
      </c>
      <c r="B48" s="17" t="s">
        <v>89</v>
      </c>
      <c r="C48" s="10" t="s">
        <v>100</v>
      </c>
      <c r="D48" s="109">
        <v>-50.439226072752582</v>
      </c>
      <c r="E48" s="109">
        <v>-21.205476000000004</v>
      </c>
      <c r="F48" s="17">
        <v>2015</v>
      </c>
      <c r="G48" s="19" t="s">
        <v>90</v>
      </c>
      <c r="H48" s="18" t="s">
        <v>188</v>
      </c>
      <c r="I48" s="17" t="s">
        <v>43</v>
      </c>
      <c r="J48" s="17" t="s">
        <v>93</v>
      </c>
      <c r="K48" s="158">
        <v>240</v>
      </c>
      <c r="L48" s="10">
        <v>12</v>
      </c>
      <c r="M48" s="158" t="s">
        <v>11</v>
      </c>
      <c r="N48" s="158" t="s">
        <v>38</v>
      </c>
      <c r="O48" s="48">
        <v>99.3</v>
      </c>
      <c r="P48" s="28">
        <v>1.5</v>
      </c>
      <c r="Q48" s="28"/>
      <c r="R48" s="28"/>
      <c r="S48" s="28"/>
    </row>
    <row r="49" spans="1:19" ht="14.25" customHeight="1">
      <c r="A49" s="17" t="s">
        <v>94</v>
      </c>
      <c r="B49" s="17" t="s">
        <v>89</v>
      </c>
      <c r="C49" s="10" t="s">
        <v>110</v>
      </c>
      <c r="D49" s="109">
        <v>-46.331370849190684</v>
      </c>
      <c r="E49" s="109">
        <v>-23.933737500000003</v>
      </c>
      <c r="F49" s="17">
        <v>2015</v>
      </c>
      <c r="G49" s="19" t="s">
        <v>90</v>
      </c>
      <c r="H49" s="18" t="s">
        <v>188</v>
      </c>
      <c r="I49" s="17" t="s">
        <v>43</v>
      </c>
      <c r="J49" s="17" t="s">
        <v>93</v>
      </c>
      <c r="K49" s="158">
        <v>240</v>
      </c>
      <c r="L49" s="10">
        <v>12</v>
      </c>
      <c r="M49" s="158" t="s">
        <v>11</v>
      </c>
      <c r="N49" s="158" t="s">
        <v>38</v>
      </c>
      <c r="O49" s="48">
        <v>100</v>
      </c>
      <c r="P49" s="24">
        <v>0</v>
      </c>
      <c r="Q49" s="17"/>
      <c r="R49" s="17"/>
    </row>
    <row r="50" spans="1:19" ht="14.25" customHeight="1">
      <c r="A50" s="17" t="s">
        <v>94</v>
      </c>
      <c r="B50" s="17" t="s">
        <v>89</v>
      </c>
      <c r="C50" s="28" t="s">
        <v>102</v>
      </c>
      <c r="D50" s="109">
        <v>-49.083000867090362</v>
      </c>
      <c r="E50" s="109">
        <v>-22.325122500000006</v>
      </c>
      <c r="F50" s="17">
        <v>2015</v>
      </c>
      <c r="G50" s="19" t="s">
        <v>90</v>
      </c>
      <c r="H50" s="18" t="s">
        <v>188</v>
      </c>
      <c r="I50" s="17" t="s">
        <v>43</v>
      </c>
      <c r="J50" s="17" t="s">
        <v>93</v>
      </c>
      <c r="K50" s="158">
        <v>240</v>
      </c>
      <c r="L50" s="10">
        <v>12</v>
      </c>
      <c r="M50" s="158" t="s">
        <v>11</v>
      </c>
      <c r="N50" s="158" t="s">
        <v>38</v>
      </c>
      <c r="O50" s="48">
        <v>95.6</v>
      </c>
      <c r="P50" s="24">
        <v>5.4</v>
      </c>
      <c r="Q50" s="28"/>
      <c r="R50" s="28"/>
      <c r="S50" s="28"/>
    </row>
    <row r="51" spans="1:19" ht="14.25" customHeight="1">
      <c r="A51" s="17" t="s">
        <v>94</v>
      </c>
      <c r="B51" s="17" t="s">
        <v>89</v>
      </c>
      <c r="C51" s="28" t="s">
        <v>104</v>
      </c>
      <c r="D51" s="109">
        <v>-47.06015627297316</v>
      </c>
      <c r="E51" s="109">
        <v>-22.907342500000002</v>
      </c>
      <c r="F51" s="17">
        <v>2015</v>
      </c>
      <c r="G51" s="19" t="s">
        <v>90</v>
      </c>
      <c r="H51" s="18" t="s">
        <v>188</v>
      </c>
      <c r="I51" s="17" t="s">
        <v>43</v>
      </c>
      <c r="J51" s="17" t="s">
        <v>93</v>
      </c>
      <c r="K51" s="158">
        <v>240</v>
      </c>
      <c r="L51" s="10">
        <v>12</v>
      </c>
      <c r="M51" s="158" t="s">
        <v>11</v>
      </c>
      <c r="N51" s="158" t="s">
        <v>38</v>
      </c>
      <c r="O51" s="48">
        <v>98.2</v>
      </c>
      <c r="P51" s="24">
        <v>2.1</v>
      </c>
      <c r="Q51" s="28"/>
      <c r="R51" s="28"/>
      <c r="S51" s="28"/>
    </row>
    <row r="52" spans="1:19" ht="14.25" customHeight="1">
      <c r="A52" s="17" t="s">
        <v>94</v>
      </c>
      <c r="B52" s="17" t="s">
        <v>89</v>
      </c>
      <c r="C52" s="17" t="s">
        <v>25</v>
      </c>
      <c r="D52" s="109">
        <v>-49.951645643103269</v>
      </c>
      <c r="E52" s="109">
        <v>-22.214933000000002</v>
      </c>
      <c r="F52" s="17">
        <v>2015</v>
      </c>
      <c r="G52" s="19" t="s">
        <v>90</v>
      </c>
      <c r="H52" s="18" t="s">
        <v>188</v>
      </c>
      <c r="I52" s="17" t="s">
        <v>43</v>
      </c>
      <c r="J52" s="17" t="s">
        <v>93</v>
      </c>
      <c r="K52" s="158">
        <v>240</v>
      </c>
      <c r="L52" s="10">
        <v>12</v>
      </c>
      <c r="M52" s="158" t="s">
        <v>11</v>
      </c>
      <c r="N52" s="158" t="s">
        <v>38</v>
      </c>
      <c r="O52" s="48">
        <v>98.9</v>
      </c>
      <c r="P52" s="24">
        <v>2.2000000000000002</v>
      </c>
      <c r="Q52" s="28"/>
      <c r="R52" s="28"/>
      <c r="S52" s="28"/>
    </row>
    <row r="53" spans="1:19" ht="14.25" customHeight="1">
      <c r="A53" s="17" t="s">
        <v>94</v>
      </c>
      <c r="B53" s="17" t="s">
        <v>89</v>
      </c>
      <c r="C53" s="10" t="s">
        <v>114</v>
      </c>
      <c r="D53" s="127">
        <v>-47.457853253204043</v>
      </c>
      <c r="E53" s="127">
        <v>-23.499323</v>
      </c>
      <c r="F53" s="17">
        <v>2015</v>
      </c>
      <c r="G53" s="19" t="s">
        <v>90</v>
      </c>
      <c r="H53" s="18" t="s">
        <v>188</v>
      </c>
      <c r="I53" s="17" t="s">
        <v>43</v>
      </c>
      <c r="J53" s="17" t="s">
        <v>93</v>
      </c>
      <c r="K53" s="158">
        <v>240</v>
      </c>
      <c r="L53" s="10">
        <v>12</v>
      </c>
      <c r="M53" s="158" t="s">
        <v>11</v>
      </c>
      <c r="N53" s="158" t="s">
        <v>38</v>
      </c>
      <c r="O53" s="48">
        <v>97.8</v>
      </c>
      <c r="P53" s="24">
        <v>3.5</v>
      </c>
      <c r="Q53" s="28"/>
      <c r="R53" s="28"/>
      <c r="S53" s="28"/>
    </row>
    <row r="54" spans="1:19" ht="14.25" customHeight="1">
      <c r="A54" s="17" t="s">
        <v>94</v>
      </c>
      <c r="B54" s="17" t="s">
        <v>89</v>
      </c>
      <c r="C54" s="28" t="s">
        <v>101</v>
      </c>
      <c r="D54" s="109">
        <v>-48.567377839455055</v>
      </c>
      <c r="E54" s="109">
        <v>-20.558455515000002</v>
      </c>
      <c r="F54" s="17">
        <v>2015</v>
      </c>
      <c r="G54" s="19" t="s">
        <v>90</v>
      </c>
      <c r="H54" s="18" t="s">
        <v>188</v>
      </c>
      <c r="I54" s="17" t="s">
        <v>43</v>
      </c>
      <c r="J54" s="17" t="s">
        <v>93</v>
      </c>
      <c r="K54" s="158">
        <v>240</v>
      </c>
      <c r="L54" s="10">
        <v>12</v>
      </c>
      <c r="M54" s="158" t="s">
        <v>11</v>
      </c>
      <c r="N54" s="158" t="s">
        <v>38</v>
      </c>
      <c r="O54" s="48">
        <v>78.099999999999994</v>
      </c>
      <c r="P54" s="24">
        <v>27</v>
      </c>
    </row>
    <row r="55" spans="1:19" ht="14.25" customHeight="1">
      <c r="A55" s="17" t="s">
        <v>94</v>
      </c>
      <c r="B55" s="17" t="s">
        <v>89</v>
      </c>
      <c r="C55" s="158" t="s">
        <v>109</v>
      </c>
      <c r="D55" s="109">
        <v>-47.805475915541528</v>
      </c>
      <c r="E55" s="109">
        <v>-21.184834500000004</v>
      </c>
      <c r="F55" s="17">
        <v>2015</v>
      </c>
      <c r="G55" s="19" t="s">
        <v>90</v>
      </c>
      <c r="H55" s="18" t="s">
        <v>188</v>
      </c>
      <c r="I55" s="17" t="s">
        <v>43</v>
      </c>
      <c r="J55" s="17" t="s">
        <v>93</v>
      </c>
      <c r="K55" s="158">
        <v>240</v>
      </c>
      <c r="L55" s="10">
        <v>12</v>
      </c>
      <c r="M55" s="158" t="s">
        <v>11</v>
      </c>
      <c r="N55" s="158" t="s">
        <v>38</v>
      </c>
      <c r="O55" s="48">
        <v>96.1</v>
      </c>
      <c r="P55" s="24">
        <v>0.5</v>
      </c>
    </row>
    <row r="56" spans="1:19" ht="14.25" customHeight="1">
      <c r="A56" s="17" t="s">
        <v>94</v>
      </c>
      <c r="B56" s="17" t="s">
        <v>89</v>
      </c>
      <c r="C56" s="67" t="s">
        <v>131</v>
      </c>
      <c r="D56" s="109">
        <v>-49.381347685025794</v>
      </c>
      <c r="E56" s="109">
        <v>-20.812636500000004</v>
      </c>
      <c r="F56" s="17">
        <v>2015</v>
      </c>
      <c r="G56" s="19" t="s">
        <v>90</v>
      </c>
      <c r="H56" s="18" t="s">
        <v>188</v>
      </c>
      <c r="I56" s="17" t="s">
        <v>43</v>
      </c>
      <c r="J56" s="17" t="s">
        <v>93</v>
      </c>
      <c r="K56" s="158">
        <v>240</v>
      </c>
      <c r="L56" s="10">
        <v>12</v>
      </c>
      <c r="M56" s="158" t="s">
        <v>11</v>
      </c>
      <c r="N56" s="158" t="s">
        <v>38</v>
      </c>
      <c r="O56" s="48">
        <v>88.8</v>
      </c>
      <c r="P56" s="24">
        <v>22.2</v>
      </c>
      <c r="Q56" s="28"/>
      <c r="R56" s="28"/>
      <c r="S56" s="28"/>
    </row>
    <row r="57" spans="1:19" ht="14.25" customHeight="1">
      <c r="A57" s="17" t="s">
        <v>94</v>
      </c>
      <c r="B57" s="17" t="s">
        <v>89</v>
      </c>
      <c r="C57" s="28" t="s">
        <v>95</v>
      </c>
      <c r="D57" s="109">
        <v>-46.570383182112749</v>
      </c>
      <c r="E57" s="109">
        <v>-23.567386500000001</v>
      </c>
      <c r="F57" s="17">
        <v>2015</v>
      </c>
      <c r="G57" s="19" t="s">
        <v>90</v>
      </c>
      <c r="H57" s="18" t="s">
        <v>188</v>
      </c>
      <c r="I57" s="17" t="s">
        <v>43</v>
      </c>
      <c r="J57" s="17" t="s">
        <v>93</v>
      </c>
      <c r="K57" s="158">
        <v>240</v>
      </c>
      <c r="L57" s="10">
        <v>12</v>
      </c>
      <c r="M57" s="158" t="s">
        <v>11</v>
      </c>
      <c r="N57" s="158" t="s">
        <v>38</v>
      </c>
      <c r="O57" s="48">
        <v>98.9</v>
      </c>
      <c r="P57" s="24">
        <v>2.1</v>
      </c>
      <c r="Q57" s="28"/>
      <c r="R57" s="28"/>
      <c r="S57" s="28"/>
    </row>
    <row r="58" spans="1:19" ht="14.25" customHeight="1" thickBot="1">
      <c r="A58" s="21" t="s">
        <v>94</v>
      </c>
      <c r="B58" s="21" t="s">
        <v>89</v>
      </c>
      <c r="C58" s="30" t="s">
        <v>175</v>
      </c>
      <c r="D58" s="110">
        <v>-47.841054751674982</v>
      </c>
      <c r="E58" s="110">
        <v>-24.494251427999906</v>
      </c>
      <c r="F58" s="21">
        <v>2015</v>
      </c>
      <c r="G58" s="22" t="s">
        <v>90</v>
      </c>
      <c r="H58" s="21" t="s">
        <v>188</v>
      </c>
      <c r="I58" s="21" t="s">
        <v>43</v>
      </c>
      <c r="J58" s="21" t="s">
        <v>93</v>
      </c>
      <c r="K58" s="11">
        <v>240</v>
      </c>
      <c r="L58" s="30">
        <v>12</v>
      </c>
      <c r="M58" s="11" t="s">
        <v>11</v>
      </c>
      <c r="N58" s="11" t="s">
        <v>38</v>
      </c>
      <c r="O58" s="100">
        <v>98.5</v>
      </c>
      <c r="P58" s="25">
        <v>2.5</v>
      </c>
      <c r="Q58" s="28"/>
      <c r="R58" s="28"/>
      <c r="S58" s="28"/>
    </row>
    <row r="60" spans="1:19" ht="14.25" customHeight="1">
      <c r="H60" s="27"/>
      <c r="I60" s="27"/>
      <c r="J60" s="27"/>
      <c r="M60" s="18"/>
      <c r="N60" s="18"/>
      <c r="O60" s="18"/>
    </row>
    <row r="61" spans="1:19" ht="14.25" customHeight="1">
      <c r="E61" s="27"/>
      <c r="F61" s="27"/>
      <c r="G61" s="27"/>
      <c r="H61" s="27"/>
      <c r="I61" s="27"/>
      <c r="K61" s="18"/>
      <c r="L61" s="18"/>
      <c r="M61" s="18"/>
      <c r="N61" s="18"/>
      <c r="O61" s="18"/>
    </row>
    <row r="62" spans="1:19" ht="14.25" customHeight="1">
      <c r="E62" s="27"/>
      <c r="F62" s="27"/>
      <c r="G62" s="27"/>
      <c r="H62" s="27"/>
      <c r="I62" s="27"/>
      <c r="K62" s="18"/>
      <c r="L62" s="18"/>
      <c r="M62" s="18"/>
      <c r="N62" s="18"/>
      <c r="O62" s="18"/>
    </row>
    <row r="63" spans="1:19" ht="14.25" customHeight="1">
      <c r="C63" s="2"/>
      <c r="D63" s="256"/>
      <c r="E63" s="2"/>
      <c r="F63" s="27"/>
      <c r="G63" s="27"/>
      <c r="H63" s="27"/>
      <c r="I63" s="27"/>
      <c r="K63" s="18"/>
      <c r="L63" s="18"/>
      <c r="M63" s="18"/>
      <c r="N63" s="18"/>
      <c r="O63" s="18"/>
    </row>
    <row r="64" spans="1:19" ht="14.25" customHeight="1">
      <c r="C64" s="2"/>
      <c r="D64" s="256"/>
      <c r="E64" s="2"/>
      <c r="F64" s="27"/>
      <c r="G64" s="27"/>
      <c r="H64" s="27"/>
      <c r="I64" s="27"/>
      <c r="K64" s="18"/>
      <c r="L64" s="18"/>
      <c r="M64" s="18"/>
      <c r="N64" s="18"/>
      <c r="O64" s="18"/>
    </row>
    <row r="65" spans="3:15" ht="14.25" customHeight="1">
      <c r="C65" s="2"/>
      <c r="D65" s="2"/>
      <c r="E65" s="2"/>
      <c r="F65" s="27"/>
      <c r="G65" s="27"/>
      <c r="H65" s="27"/>
      <c r="I65" s="27"/>
      <c r="K65" s="18"/>
      <c r="L65" s="18"/>
      <c r="M65" s="18"/>
      <c r="N65" s="18"/>
      <c r="O65" s="18"/>
    </row>
    <row r="66" spans="3:15" ht="14.25" customHeight="1">
      <c r="C66" s="2"/>
      <c r="D66" s="2"/>
      <c r="E66" s="2"/>
      <c r="F66" s="27"/>
      <c r="G66" s="27"/>
      <c r="H66" s="27"/>
      <c r="I66" s="27"/>
      <c r="K66" s="18"/>
      <c r="L66" s="18"/>
      <c r="M66" s="18"/>
      <c r="N66" s="18"/>
      <c r="O66" s="18"/>
    </row>
    <row r="67" spans="3:15" ht="14.25" customHeight="1">
      <c r="C67" s="2"/>
      <c r="D67" s="257"/>
      <c r="E67" s="2"/>
      <c r="F67" s="27"/>
      <c r="G67" s="27"/>
      <c r="H67" s="27"/>
      <c r="I67" s="27"/>
      <c r="K67" s="18"/>
      <c r="L67" s="18"/>
      <c r="M67" s="18"/>
      <c r="N67" s="18"/>
      <c r="O67" s="18"/>
    </row>
    <row r="68" spans="3:15" ht="14.25" customHeight="1">
      <c r="C68" s="2"/>
      <c r="D68" s="2"/>
      <c r="E68" s="2"/>
      <c r="F68" s="27"/>
      <c r="G68" s="27"/>
      <c r="H68" s="27"/>
      <c r="I68" s="27"/>
      <c r="K68" s="18"/>
      <c r="L68" s="18"/>
      <c r="M68" s="18"/>
      <c r="N68" s="18"/>
      <c r="O68" s="18"/>
    </row>
    <row r="69" spans="3:15" ht="14.25" customHeight="1">
      <c r="C69" s="2"/>
      <c r="D69" s="2"/>
      <c r="E69" s="2"/>
      <c r="F69" s="27"/>
      <c r="G69" s="27"/>
      <c r="H69" s="27"/>
      <c r="I69" s="27"/>
      <c r="K69" s="18"/>
      <c r="L69" s="18"/>
      <c r="M69" s="18"/>
      <c r="N69" s="18"/>
      <c r="O69" s="18"/>
    </row>
    <row r="70" spans="3:15" ht="14.25" customHeight="1">
      <c r="C70" s="2"/>
      <c r="D70" s="2"/>
      <c r="E70" s="2"/>
      <c r="H70" s="27"/>
      <c r="I70" s="27"/>
      <c r="J70" s="27"/>
      <c r="M70" s="18"/>
      <c r="N70" s="18"/>
      <c r="O70" s="18"/>
    </row>
    <row r="71" spans="3:15" ht="14.25" customHeight="1">
      <c r="C71" s="2"/>
      <c r="D71" s="2"/>
      <c r="E71" s="2"/>
      <c r="H71" s="27"/>
      <c r="I71" s="27"/>
      <c r="J71" s="27"/>
      <c r="M71" s="18"/>
      <c r="N71" s="18"/>
      <c r="O71" s="18"/>
    </row>
    <row r="72" spans="3:15" ht="14.25" customHeight="1">
      <c r="C72" s="2"/>
      <c r="D72" s="2"/>
      <c r="E72" s="2"/>
      <c r="H72" s="27"/>
      <c r="I72" s="27"/>
      <c r="J72" s="27"/>
      <c r="M72" s="18"/>
      <c r="N72" s="18"/>
      <c r="O72" s="18"/>
    </row>
    <row r="73" spans="3:15" ht="14.25" customHeight="1">
      <c r="C73" s="2"/>
      <c r="D73" s="2"/>
      <c r="E73" s="2"/>
      <c r="H73" s="27"/>
      <c r="I73" s="27"/>
      <c r="J73" s="27"/>
      <c r="M73" s="18"/>
      <c r="N73" s="18"/>
      <c r="O73" s="18"/>
    </row>
    <row r="74" spans="3:15" ht="14.25" customHeight="1">
      <c r="C74" s="2"/>
      <c r="D74" s="2"/>
      <c r="E74" s="2"/>
      <c r="H74" s="27"/>
      <c r="I74" s="27"/>
      <c r="J74" s="27"/>
      <c r="M74" s="18"/>
      <c r="N74" s="18"/>
      <c r="O74" s="18"/>
    </row>
    <row r="75" spans="3:15" ht="14.25" customHeight="1">
      <c r="C75" s="2"/>
      <c r="D75" s="2"/>
      <c r="E75" s="2"/>
      <c r="H75" s="27"/>
      <c r="I75" s="27"/>
      <c r="J75" s="27"/>
      <c r="M75" s="18"/>
      <c r="N75" s="18"/>
      <c r="O75" s="18"/>
    </row>
    <row r="76" spans="3:15" ht="14.25" customHeight="1">
      <c r="C76" s="2"/>
      <c r="D76" s="2"/>
      <c r="E76" s="2"/>
      <c r="H76" s="27"/>
      <c r="I76" s="27"/>
      <c r="J76" s="27"/>
      <c r="M76" s="18"/>
      <c r="N76" s="18"/>
      <c r="O76" s="18"/>
    </row>
    <row r="77" spans="3:15" ht="14.25" customHeight="1">
      <c r="C77" s="2"/>
      <c r="D77" s="2"/>
      <c r="E77" s="2"/>
      <c r="H77" s="27"/>
      <c r="I77" s="27"/>
      <c r="J77" s="27"/>
      <c r="M77" s="18"/>
      <c r="N77" s="18"/>
      <c r="O77" s="18"/>
    </row>
    <row r="78" spans="3:15" ht="14.25" customHeight="1">
      <c r="C78" s="2"/>
      <c r="D78" s="2"/>
      <c r="E78" s="2"/>
      <c r="H78" s="27"/>
      <c r="I78" s="27"/>
      <c r="J78" s="27"/>
      <c r="M78" s="18"/>
      <c r="N78" s="18"/>
      <c r="O78" s="18"/>
    </row>
    <row r="79" spans="3:15" ht="14.25" customHeight="1">
      <c r="C79" s="2"/>
      <c r="D79" s="2"/>
      <c r="E79" s="2"/>
      <c r="H79" s="27"/>
      <c r="I79" s="27"/>
      <c r="J79" s="27"/>
      <c r="M79" s="18"/>
      <c r="N79" s="18"/>
      <c r="O79" s="18"/>
    </row>
    <row r="80" spans="3:15" ht="14.25" customHeight="1">
      <c r="C80" s="2"/>
      <c r="D80" s="2"/>
      <c r="E80" s="2"/>
      <c r="H80" s="27"/>
      <c r="I80" s="27"/>
      <c r="J80" s="27"/>
      <c r="M80" s="18"/>
      <c r="N80" s="18"/>
      <c r="O80" s="18"/>
    </row>
    <row r="81" spans="3:15" ht="14.25" customHeight="1">
      <c r="C81" s="2"/>
      <c r="H81" s="27"/>
      <c r="I81" s="27"/>
      <c r="J81" s="27"/>
      <c r="M81" s="18"/>
      <c r="N81" s="18"/>
      <c r="O81" s="18"/>
    </row>
    <row r="82" spans="3:15" ht="14.25" customHeight="1">
      <c r="C82" s="2"/>
      <c r="H82" s="27"/>
      <c r="I82" s="27"/>
      <c r="J82" s="27"/>
      <c r="M82" s="18"/>
      <c r="N82" s="18"/>
      <c r="O82" s="18"/>
    </row>
    <row r="83" spans="3:15" ht="14.25" customHeight="1">
      <c r="H83" s="27"/>
      <c r="I83" s="27"/>
      <c r="J83" s="27"/>
      <c r="M83" s="18"/>
      <c r="N83" s="18"/>
      <c r="O83" s="18"/>
    </row>
  </sheetData>
  <sheetCalcPr fullCalcOnLoad="1"/>
  <phoneticPr fontId="48" type="noConversion"/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X62"/>
  <sheetViews>
    <sheetView workbookViewId="0">
      <selection activeCell="A2" sqref="A2"/>
    </sheetView>
  </sheetViews>
  <sheetFormatPr baseColWidth="10" defaultColWidth="8.83203125" defaultRowHeight="14.25" customHeight="1"/>
  <cols>
    <col min="1" max="1" width="17.83203125" style="2" bestFit="1" customWidth="1"/>
    <col min="2" max="2" width="7" style="2" bestFit="1" customWidth="1"/>
    <col min="3" max="3" width="19.5" style="2" bestFit="1" customWidth="1"/>
    <col min="4" max="4" width="13.1640625" style="2" bestFit="1" customWidth="1"/>
    <col min="5" max="5" width="14.6640625" style="2" bestFit="1" customWidth="1"/>
    <col min="6" max="7" width="12.6640625" style="2" bestFit="1" customWidth="1"/>
    <col min="8" max="8" width="15.5" style="2" bestFit="1" customWidth="1"/>
    <col min="9" max="9" width="17.5" style="2" bestFit="1" customWidth="1"/>
    <col min="10" max="10" width="11.6640625" style="2" bestFit="1" customWidth="1"/>
    <col min="11" max="11" width="13.5" style="2" bestFit="1" customWidth="1"/>
    <col min="12" max="12" width="12" style="2" bestFit="1" customWidth="1"/>
    <col min="13" max="13" width="9.33203125" style="2" bestFit="1" customWidth="1"/>
    <col min="14" max="14" width="22.83203125" style="2" bestFit="1" customWidth="1"/>
    <col min="15" max="15" width="14.1640625" style="2" bestFit="1" customWidth="1"/>
    <col min="16" max="16" width="24.1640625" style="2" bestFit="1" customWidth="1"/>
    <col min="17" max="19" width="6.5" style="2" bestFit="1" customWidth="1"/>
    <col min="20" max="16384" width="8.83203125" style="2"/>
  </cols>
  <sheetData>
    <row r="1" spans="1:24" ht="14.25" customHeight="1" thickBot="1">
      <c r="A1" s="21" t="s">
        <v>69</v>
      </c>
      <c r="B1" s="17" t="s">
        <v>70</v>
      </c>
      <c r="C1" s="21" t="s">
        <v>71</v>
      </c>
      <c r="D1" s="21" t="s">
        <v>190</v>
      </c>
      <c r="E1" s="17" t="s">
        <v>24</v>
      </c>
      <c r="F1" s="17" t="s">
        <v>72</v>
      </c>
      <c r="G1" s="17" t="s">
        <v>73</v>
      </c>
      <c r="H1" s="21" t="s">
        <v>74</v>
      </c>
      <c r="I1" s="21" t="s">
        <v>75</v>
      </c>
      <c r="J1" s="21" t="s">
        <v>76</v>
      </c>
      <c r="K1" s="11" t="s">
        <v>77</v>
      </c>
      <c r="L1" s="158" t="s">
        <v>78</v>
      </c>
      <c r="M1" s="158" t="s">
        <v>79</v>
      </c>
      <c r="N1" s="158" t="s">
        <v>82</v>
      </c>
      <c r="O1" s="158" t="s">
        <v>83</v>
      </c>
      <c r="P1" s="158" t="s">
        <v>27</v>
      </c>
      <c r="Q1" s="11" t="s">
        <v>85</v>
      </c>
      <c r="R1" s="11" t="s">
        <v>86</v>
      </c>
      <c r="S1" s="11" t="s">
        <v>87</v>
      </c>
      <c r="T1" s="17"/>
    </row>
    <row r="2" spans="1:24" ht="14.25" customHeight="1">
      <c r="A2" s="17" t="s">
        <v>94</v>
      </c>
      <c r="B2" s="32" t="s">
        <v>89</v>
      </c>
      <c r="C2" s="45" t="s">
        <v>124</v>
      </c>
      <c r="D2" s="261"/>
      <c r="E2" s="262"/>
      <c r="F2" s="32">
        <v>2016</v>
      </c>
      <c r="G2" s="33" t="s">
        <v>90</v>
      </c>
      <c r="H2" s="18" t="s">
        <v>177</v>
      </c>
      <c r="I2" s="17" t="s">
        <v>44</v>
      </c>
      <c r="J2" s="17" t="s">
        <v>45</v>
      </c>
      <c r="K2" s="158">
        <v>1280</v>
      </c>
      <c r="L2" s="34"/>
      <c r="M2" s="34" t="s">
        <v>80</v>
      </c>
      <c r="N2" s="34" t="s">
        <v>48</v>
      </c>
      <c r="O2" s="34"/>
      <c r="P2" s="34">
        <v>2.9999999999999997E-4</v>
      </c>
      <c r="Q2" s="4">
        <v>3.3E-4</v>
      </c>
      <c r="R2" s="4">
        <v>8.9999999999999998E-4</v>
      </c>
      <c r="S2" s="4">
        <v>1.2999999999999999E-3</v>
      </c>
      <c r="T2" s="17"/>
    </row>
    <row r="3" spans="1:24" ht="14.25" customHeight="1">
      <c r="A3" s="17" t="s">
        <v>94</v>
      </c>
      <c r="B3" s="17" t="s">
        <v>89</v>
      </c>
      <c r="C3" s="158" t="s">
        <v>100</v>
      </c>
      <c r="D3" s="109">
        <v>-50.439226072752582</v>
      </c>
      <c r="E3" s="109">
        <v>-21.205476000000004</v>
      </c>
      <c r="F3" s="17">
        <v>2016</v>
      </c>
      <c r="G3" s="19" t="s">
        <v>90</v>
      </c>
      <c r="H3" s="18" t="s">
        <v>177</v>
      </c>
      <c r="I3" s="17" t="s">
        <v>44</v>
      </c>
      <c r="J3" s="17" t="s">
        <v>45</v>
      </c>
      <c r="K3" s="158">
        <v>1280</v>
      </c>
      <c r="L3" s="158"/>
      <c r="M3" s="158" t="s">
        <v>80</v>
      </c>
      <c r="N3" s="158" t="s">
        <v>48</v>
      </c>
      <c r="O3" s="10"/>
      <c r="P3" s="158">
        <v>2.5000000000000001E-3</v>
      </c>
      <c r="Q3" s="4">
        <v>1.2999999999999999E-3</v>
      </c>
      <c r="R3" s="4">
        <v>2.5000000000000001E-3</v>
      </c>
      <c r="S3" s="4">
        <v>3.2000000000000002E-3</v>
      </c>
      <c r="T3" s="17"/>
      <c r="U3" s="1"/>
      <c r="V3" s="1"/>
      <c r="W3" s="1"/>
      <c r="X3" s="1"/>
    </row>
    <row r="4" spans="1:24" ht="14.25" customHeight="1">
      <c r="A4" s="17" t="s">
        <v>94</v>
      </c>
      <c r="B4" s="17" t="s">
        <v>89</v>
      </c>
      <c r="C4" s="17" t="s">
        <v>101</v>
      </c>
      <c r="D4" s="109">
        <v>-48.567377839455055</v>
      </c>
      <c r="E4" s="109">
        <v>-20.558455515000002</v>
      </c>
      <c r="F4" s="17">
        <v>2016</v>
      </c>
      <c r="G4" s="19" t="s">
        <v>90</v>
      </c>
      <c r="H4" s="18" t="s">
        <v>177</v>
      </c>
      <c r="I4" s="17" t="s">
        <v>44</v>
      </c>
      <c r="J4" s="17" t="s">
        <v>45</v>
      </c>
      <c r="K4" s="158">
        <v>1280</v>
      </c>
      <c r="L4" s="158"/>
      <c r="M4" s="158" t="s">
        <v>80</v>
      </c>
      <c r="N4" s="158" t="s">
        <v>48</v>
      </c>
      <c r="O4" s="10"/>
      <c r="P4" s="158">
        <v>3.0000000000000001E-3</v>
      </c>
      <c r="Q4" s="4">
        <v>1.1000000000000001E-3</v>
      </c>
      <c r="R4" s="4">
        <v>2.3999999999999998E-3</v>
      </c>
      <c r="S4" s="4">
        <v>3.2000000000000002E-3</v>
      </c>
      <c r="T4" s="17"/>
      <c r="U4" s="4"/>
      <c r="V4" s="4"/>
      <c r="W4" s="4"/>
      <c r="X4" s="1"/>
    </row>
    <row r="5" spans="1:24" ht="14.25" customHeight="1">
      <c r="A5" s="17" t="s">
        <v>94</v>
      </c>
      <c r="B5" s="17" t="s">
        <v>89</v>
      </c>
      <c r="C5" s="17" t="s">
        <v>102</v>
      </c>
      <c r="D5" s="109">
        <v>-49.083000867090362</v>
      </c>
      <c r="E5" s="109">
        <v>-22.325122500000006</v>
      </c>
      <c r="F5" s="17">
        <v>2016</v>
      </c>
      <c r="G5" s="19" t="s">
        <v>90</v>
      </c>
      <c r="H5" s="17" t="s">
        <v>177</v>
      </c>
      <c r="I5" s="17" t="s">
        <v>44</v>
      </c>
      <c r="J5" s="17" t="s">
        <v>45</v>
      </c>
      <c r="K5" s="158">
        <v>1280</v>
      </c>
      <c r="L5" s="158"/>
      <c r="M5" s="158" t="s">
        <v>80</v>
      </c>
      <c r="N5" s="158" t="s">
        <v>48</v>
      </c>
      <c r="O5" s="10"/>
      <c r="P5" s="158">
        <v>1E-3</v>
      </c>
      <c r="Q5" s="3">
        <v>5.0000000000000001E-4</v>
      </c>
      <c r="R5" s="3">
        <v>1.1999999999999999E-3</v>
      </c>
      <c r="S5" s="3">
        <v>1.8E-3</v>
      </c>
      <c r="T5" s="158"/>
      <c r="U5" s="1"/>
      <c r="V5" s="1"/>
      <c r="W5" s="1"/>
      <c r="X5" s="1"/>
    </row>
    <row r="6" spans="1:24" ht="14.25" customHeight="1">
      <c r="A6" s="17" t="s">
        <v>94</v>
      </c>
      <c r="B6" s="17" t="s">
        <v>89</v>
      </c>
      <c r="C6" s="17" t="s">
        <v>103</v>
      </c>
      <c r="D6" s="109">
        <v>-48.441289384350434</v>
      </c>
      <c r="E6" s="109">
        <v>-22.888381500000008</v>
      </c>
      <c r="F6" s="17">
        <v>2016</v>
      </c>
      <c r="G6" s="19" t="s">
        <v>90</v>
      </c>
      <c r="H6" s="17" t="s">
        <v>177</v>
      </c>
      <c r="I6" s="17" t="s">
        <v>44</v>
      </c>
      <c r="J6" s="17" t="s">
        <v>45</v>
      </c>
      <c r="K6" s="158">
        <v>1280</v>
      </c>
      <c r="L6" s="158"/>
      <c r="M6" s="158" t="s">
        <v>80</v>
      </c>
      <c r="N6" s="158" t="s">
        <v>48</v>
      </c>
      <c r="O6" s="10"/>
      <c r="P6" s="158">
        <v>1.2999999999999999E-3</v>
      </c>
      <c r="Q6" s="4">
        <v>7.1000000000000002E-4</v>
      </c>
      <c r="R6" s="4">
        <v>1.2999999999999999E-3</v>
      </c>
      <c r="S6" s="4">
        <v>1.6999999999999999E-3</v>
      </c>
      <c r="T6" s="158"/>
      <c r="U6" s="4"/>
      <c r="V6" s="4"/>
      <c r="W6" s="4"/>
      <c r="X6" s="1"/>
    </row>
    <row r="7" spans="1:24" ht="14.25" customHeight="1">
      <c r="A7" s="17" t="s">
        <v>94</v>
      </c>
      <c r="B7" s="17" t="s">
        <v>89</v>
      </c>
      <c r="C7" s="17" t="s">
        <v>104</v>
      </c>
      <c r="D7" s="109">
        <v>-47.06015627297316</v>
      </c>
      <c r="E7" s="109">
        <v>-22.907342500000002</v>
      </c>
      <c r="F7" s="17">
        <v>2016</v>
      </c>
      <c r="G7" s="19" t="s">
        <v>90</v>
      </c>
      <c r="H7" s="17" t="s">
        <v>177</v>
      </c>
      <c r="I7" s="17" t="s">
        <v>44</v>
      </c>
      <c r="J7" s="17" t="s">
        <v>45</v>
      </c>
      <c r="K7" s="158">
        <v>1280</v>
      </c>
      <c r="L7" s="158"/>
      <c r="M7" s="158" t="s">
        <v>80</v>
      </c>
      <c r="N7" s="158" t="s">
        <v>48</v>
      </c>
      <c r="O7" s="10"/>
      <c r="P7" s="158">
        <v>1E-3</v>
      </c>
      <c r="Q7" s="4">
        <v>1E-3</v>
      </c>
      <c r="R7" s="4">
        <v>1.4E-3</v>
      </c>
      <c r="S7" s="4">
        <v>1.6999999999999999E-3</v>
      </c>
      <c r="T7" s="17"/>
      <c r="U7" s="1"/>
      <c r="V7" s="1"/>
      <c r="W7" s="1"/>
      <c r="X7" s="1"/>
    </row>
    <row r="8" spans="1:24" ht="14.25" customHeight="1">
      <c r="A8" s="17" t="s">
        <v>94</v>
      </c>
      <c r="B8" s="17" t="s">
        <v>89</v>
      </c>
      <c r="C8" s="158" t="s">
        <v>106</v>
      </c>
      <c r="D8" s="109">
        <v>-46.933372863488053</v>
      </c>
      <c r="E8" s="109">
        <v>-23.546934000000004</v>
      </c>
      <c r="F8" s="17">
        <v>2016</v>
      </c>
      <c r="G8" s="19" t="s">
        <v>90</v>
      </c>
      <c r="H8" s="17" t="s">
        <v>177</v>
      </c>
      <c r="I8" s="17" t="s">
        <v>44</v>
      </c>
      <c r="J8" s="17" t="s">
        <v>45</v>
      </c>
      <c r="K8" s="158">
        <v>1280</v>
      </c>
      <c r="L8" s="158"/>
      <c r="M8" s="158" t="s">
        <v>80</v>
      </c>
      <c r="N8" s="158" t="s">
        <v>48</v>
      </c>
      <c r="O8" s="10"/>
      <c r="P8" s="158">
        <v>7.0000000000000001E-3</v>
      </c>
      <c r="Q8" s="4">
        <v>1.1999999999999999E-3</v>
      </c>
      <c r="R8" s="4">
        <v>3.8999999999999998E-3</v>
      </c>
      <c r="S8" s="4">
        <v>6.3E-3</v>
      </c>
      <c r="T8" s="17"/>
      <c r="U8" s="17"/>
      <c r="V8" s="17"/>
      <c r="W8" s="17"/>
      <c r="X8" s="1"/>
    </row>
    <row r="9" spans="1:24" ht="14.25" customHeight="1">
      <c r="A9" s="17" t="s">
        <v>94</v>
      </c>
      <c r="B9" s="17" t="s">
        <v>89</v>
      </c>
      <c r="C9" s="17" t="s">
        <v>25</v>
      </c>
      <c r="D9" s="109">
        <v>-49.951645643103269</v>
      </c>
      <c r="E9" s="109">
        <v>-22.214933000000002</v>
      </c>
      <c r="F9" s="17">
        <v>2016</v>
      </c>
      <c r="G9" s="19" t="s">
        <v>90</v>
      </c>
      <c r="H9" s="17" t="s">
        <v>177</v>
      </c>
      <c r="I9" s="17" t="s">
        <v>44</v>
      </c>
      <c r="J9" s="17" t="s">
        <v>45</v>
      </c>
      <c r="K9" s="158">
        <v>1280</v>
      </c>
      <c r="L9" s="158"/>
      <c r="M9" s="158" t="s">
        <v>80</v>
      </c>
      <c r="N9" s="158" t="s">
        <v>48</v>
      </c>
      <c r="O9" s="10"/>
      <c r="P9" s="158">
        <v>2E-3</v>
      </c>
      <c r="Q9" s="4">
        <v>3.6999999999999999E-4</v>
      </c>
      <c r="R9" s="4">
        <v>1.1999999999999999E-3</v>
      </c>
      <c r="S9" s="4">
        <v>1.9E-3</v>
      </c>
      <c r="T9" s="17"/>
      <c r="U9" s="1"/>
      <c r="V9" s="1"/>
      <c r="W9" s="1"/>
      <c r="X9" s="1"/>
    </row>
    <row r="10" spans="1:24" ht="14.25" customHeight="1">
      <c r="A10" s="17" t="s">
        <v>94</v>
      </c>
      <c r="B10" s="17" t="s">
        <v>89</v>
      </c>
      <c r="C10" s="17" t="s">
        <v>108</v>
      </c>
      <c r="D10" s="109">
        <v>-51.386765581912492</v>
      </c>
      <c r="E10" s="109">
        <v>-22.122743500000002</v>
      </c>
      <c r="F10" s="17">
        <v>2016</v>
      </c>
      <c r="G10" s="19" t="s">
        <v>90</v>
      </c>
      <c r="H10" s="17" t="s">
        <v>177</v>
      </c>
      <c r="I10" s="17" t="s">
        <v>44</v>
      </c>
      <c r="J10" s="17" t="s">
        <v>45</v>
      </c>
      <c r="K10" s="158">
        <v>1280</v>
      </c>
      <c r="L10" s="158"/>
      <c r="M10" s="158" t="s">
        <v>80</v>
      </c>
      <c r="N10" s="158" t="s">
        <v>48</v>
      </c>
      <c r="O10" s="10"/>
      <c r="P10" s="158">
        <v>2E-3</v>
      </c>
      <c r="Q10" s="4">
        <v>6.2E-4</v>
      </c>
      <c r="R10" s="4">
        <v>2E-3</v>
      </c>
      <c r="S10" s="4">
        <v>3.3E-3</v>
      </c>
      <c r="T10" s="17"/>
      <c r="U10" s="17"/>
      <c r="V10" s="17"/>
      <c r="W10" s="17"/>
      <c r="X10" s="1"/>
    </row>
    <row r="11" spans="1:24" ht="14.25" customHeight="1">
      <c r="A11" s="17" t="s">
        <v>94</v>
      </c>
      <c r="B11" s="17" t="s">
        <v>89</v>
      </c>
      <c r="C11" s="158" t="s">
        <v>175</v>
      </c>
      <c r="D11" s="109">
        <v>-47.841054751674982</v>
      </c>
      <c r="E11" s="109">
        <v>-24.494251427999906</v>
      </c>
      <c r="F11" s="17">
        <v>2016</v>
      </c>
      <c r="G11" s="19" t="s">
        <v>90</v>
      </c>
      <c r="H11" s="17" t="s">
        <v>177</v>
      </c>
      <c r="I11" s="17" t="s">
        <v>44</v>
      </c>
      <c r="J11" s="17" t="s">
        <v>45</v>
      </c>
      <c r="K11" s="158">
        <v>1280</v>
      </c>
      <c r="L11" s="158"/>
      <c r="M11" s="158" t="s">
        <v>80</v>
      </c>
      <c r="N11" s="158" t="s">
        <v>48</v>
      </c>
      <c r="O11" s="10"/>
      <c r="P11" s="2">
        <v>1E-3</v>
      </c>
      <c r="Q11" s="4">
        <v>4.0000000000000002E-4</v>
      </c>
      <c r="R11" s="4">
        <v>9.8999999999999999E-4</v>
      </c>
      <c r="S11" s="4">
        <v>1.4E-3</v>
      </c>
      <c r="T11" s="17"/>
      <c r="U11" s="1"/>
      <c r="V11" s="1"/>
      <c r="W11" s="1"/>
      <c r="X11" s="1"/>
    </row>
    <row r="12" spans="1:24" ht="14.25" customHeight="1">
      <c r="A12" s="17" t="s">
        <v>94</v>
      </c>
      <c r="B12" s="17" t="s">
        <v>89</v>
      </c>
      <c r="C12" s="158" t="s">
        <v>109</v>
      </c>
      <c r="D12" s="109">
        <v>-47.805475915541528</v>
      </c>
      <c r="E12" s="109">
        <v>-21.184834500000004</v>
      </c>
      <c r="F12" s="17">
        <v>2016</v>
      </c>
      <c r="G12" s="19" t="s">
        <v>90</v>
      </c>
      <c r="H12" s="17" t="s">
        <v>177</v>
      </c>
      <c r="I12" s="17" t="s">
        <v>44</v>
      </c>
      <c r="J12" s="17" t="s">
        <v>45</v>
      </c>
      <c r="K12" s="158">
        <v>1280</v>
      </c>
      <c r="L12" s="158"/>
      <c r="M12" s="158" t="s">
        <v>80</v>
      </c>
      <c r="N12" s="158" t="s">
        <v>48</v>
      </c>
      <c r="O12" s="10"/>
      <c r="P12" s="158">
        <v>2E-3</v>
      </c>
      <c r="Q12" s="4">
        <v>4.0000000000000002E-4</v>
      </c>
      <c r="R12" s="4">
        <v>1.1000000000000001E-3</v>
      </c>
      <c r="S12" s="4">
        <v>1.6999999999999999E-3</v>
      </c>
      <c r="T12" s="17"/>
      <c r="U12" s="17"/>
      <c r="V12" s="17"/>
      <c r="W12" s="17"/>
      <c r="X12" s="1"/>
    </row>
    <row r="13" spans="1:24" ht="14.25" customHeight="1">
      <c r="A13" s="17" t="s">
        <v>94</v>
      </c>
      <c r="B13" s="17" t="s">
        <v>89</v>
      </c>
      <c r="C13" s="17" t="s">
        <v>127</v>
      </c>
      <c r="D13" s="109">
        <v>-46.922092505649722</v>
      </c>
      <c r="E13" s="109">
        <v>-23.449453000000005</v>
      </c>
      <c r="F13" s="17">
        <v>2016</v>
      </c>
      <c r="G13" s="19" t="s">
        <v>90</v>
      </c>
      <c r="H13" s="17" t="s">
        <v>177</v>
      </c>
      <c r="I13" s="17" t="s">
        <v>44</v>
      </c>
      <c r="J13" s="17" t="s">
        <v>45</v>
      </c>
      <c r="K13" s="158">
        <v>1280</v>
      </c>
      <c r="L13" s="158"/>
      <c r="M13" s="158" t="s">
        <v>80</v>
      </c>
      <c r="N13" s="158" t="s">
        <v>48</v>
      </c>
      <c r="O13" s="10"/>
      <c r="P13" s="158">
        <v>2E-3</v>
      </c>
      <c r="Q13" s="4">
        <v>4.4000000000000002E-4</v>
      </c>
      <c r="R13" s="4">
        <v>1.1000000000000001E-3</v>
      </c>
      <c r="S13" s="4">
        <v>1.6000000000000001E-3</v>
      </c>
      <c r="T13" s="17"/>
      <c r="U13" s="1"/>
      <c r="V13" s="1"/>
      <c r="W13" s="1"/>
      <c r="X13" s="1"/>
    </row>
    <row r="14" spans="1:24" ht="14.25" customHeight="1">
      <c r="A14" s="17" t="s">
        <v>94</v>
      </c>
      <c r="B14" s="17" t="s">
        <v>89</v>
      </c>
      <c r="C14" s="158" t="s">
        <v>110</v>
      </c>
      <c r="D14" s="109">
        <v>-46.331370849190684</v>
      </c>
      <c r="E14" s="109">
        <v>-23.933737500000003</v>
      </c>
      <c r="F14" s="17">
        <v>2016</v>
      </c>
      <c r="G14" s="19" t="s">
        <v>90</v>
      </c>
      <c r="H14" s="17" t="s">
        <v>177</v>
      </c>
      <c r="I14" s="17" t="s">
        <v>44</v>
      </c>
      <c r="J14" s="17" t="s">
        <v>45</v>
      </c>
      <c r="K14" s="158">
        <v>1280</v>
      </c>
      <c r="L14" s="158"/>
      <c r="M14" s="158" t="s">
        <v>80</v>
      </c>
      <c r="N14" s="158" t="s">
        <v>48</v>
      </c>
      <c r="O14" s="10"/>
      <c r="P14" s="158">
        <v>7.0000000000000001E-3</v>
      </c>
      <c r="Q14" s="4">
        <v>8.9999999999999998E-4</v>
      </c>
      <c r="R14" s="4">
        <v>3.3E-3</v>
      </c>
      <c r="S14" s="4">
        <v>5.7000000000000002E-3</v>
      </c>
      <c r="T14" s="17"/>
      <c r="U14" s="17"/>
      <c r="V14" s="17"/>
      <c r="W14" s="17"/>
      <c r="X14" s="1"/>
    </row>
    <row r="15" spans="1:24" ht="14.25" customHeight="1">
      <c r="A15" s="17" t="s">
        <v>94</v>
      </c>
      <c r="B15" s="17" t="s">
        <v>89</v>
      </c>
      <c r="C15" s="67" t="s">
        <v>131</v>
      </c>
      <c r="D15" s="109">
        <v>-49.381347685025794</v>
      </c>
      <c r="E15" s="109">
        <v>-20.812636500000004</v>
      </c>
      <c r="F15" s="17">
        <v>2016</v>
      </c>
      <c r="G15" s="19" t="s">
        <v>90</v>
      </c>
      <c r="H15" s="17" t="s">
        <v>177</v>
      </c>
      <c r="I15" s="17" t="s">
        <v>44</v>
      </c>
      <c r="J15" s="17" t="s">
        <v>45</v>
      </c>
      <c r="K15" s="158">
        <v>1280</v>
      </c>
      <c r="L15" s="158"/>
      <c r="M15" s="158" t="s">
        <v>80</v>
      </c>
      <c r="N15" s="158" t="s">
        <v>48</v>
      </c>
      <c r="O15" s="10"/>
      <c r="P15" s="158">
        <v>5.0000000000000001E-3</v>
      </c>
      <c r="Q15" s="4">
        <v>6.8000000000000005E-4</v>
      </c>
      <c r="R15" s="4">
        <v>1.8E-3</v>
      </c>
      <c r="S15" s="4">
        <v>2.7000000000000001E-3</v>
      </c>
      <c r="T15" s="17"/>
      <c r="U15" s="1"/>
      <c r="V15" s="1"/>
      <c r="W15" s="1"/>
      <c r="X15" s="1"/>
    </row>
    <row r="16" spans="1:24" ht="14.25" customHeight="1">
      <c r="A16" s="17" t="s">
        <v>94</v>
      </c>
      <c r="B16" s="17" t="s">
        <v>89</v>
      </c>
      <c r="C16" s="158" t="s">
        <v>46</v>
      </c>
      <c r="D16" s="109">
        <v>-45.884175401459665</v>
      </c>
      <c r="E16" s="109">
        <v>-23.184061500000002</v>
      </c>
      <c r="F16" s="17">
        <v>2016</v>
      </c>
      <c r="G16" s="19" t="s">
        <v>90</v>
      </c>
      <c r="H16" s="17" t="s">
        <v>177</v>
      </c>
      <c r="I16" s="17" t="s">
        <v>44</v>
      </c>
      <c r="J16" s="17" t="s">
        <v>45</v>
      </c>
      <c r="K16" s="158">
        <v>1280</v>
      </c>
      <c r="L16" s="158"/>
      <c r="M16" s="158" t="s">
        <v>80</v>
      </c>
      <c r="N16" s="158" t="s">
        <v>48</v>
      </c>
      <c r="O16" s="10"/>
      <c r="P16" s="158">
        <v>1E-3</v>
      </c>
      <c r="Q16" s="3">
        <v>8.4999999999999995E-4</v>
      </c>
      <c r="R16" s="3">
        <v>1.5E-3</v>
      </c>
      <c r="S16" s="3">
        <v>2E-3</v>
      </c>
      <c r="T16" s="17"/>
      <c r="U16" s="17"/>
      <c r="V16" s="17"/>
      <c r="W16" s="17"/>
      <c r="X16" s="1"/>
    </row>
    <row r="17" spans="1:24" ht="14.25" customHeight="1" thickBot="1">
      <c r="A17" s="21" t="s">
        <v>94</v>
      </c>
      <c r="B17" s="17" t="s">
        <v>89</v>
      </c>
      <c r="C17" s="11" t="s">
        <v>113</v>
      </c>
      <c r="D17" s="110">
        <v>-45.402680140543957</v>
      </c>
      <c r="E17" s="110">
        <v>-23.806687652148753</v>
      </c>
      <c r="F17" s="21">
        <v>2016</v>
      </c>
      <c r="G17" s="22" t="s">
        <v>90</v>
      </c>
      <c r="H17" s="21" t="s">
        <v>177</v>
      </c>
      <c r="I17" s="21" t="s">
        <v>44</v>
      </c>
      <c r="J17" s="21" t="s">
        <v>45</v>
      </c>
      <c r="K17" s="11">
        <v>1280</v>
      </c>
      <c r="L17" s="11"/>
      <c r="M17" s="11" t="s">
        <v>80</v>
      </c>
      <c r="N17" s="11" t="s">
        <v>48</v>
      </c>
      <c r="O17" s="30"/>
      <c r="P17" s="11">
        <v>2E-3</v>
      </c>
      <c r="Q17" s="29">
        <v>1E-3</v>
      </c>
      <c r="R17" s="29">
        <v>1.9E-3</v>
      </c>
      <c r="S17" s="29">
        <v>2.3999999999999998E-3</v>
      </c>
      <c r="T17" s="161"/>
      <c r="U17" s="1"/>
      <c r="V17" s="1"/>
      <c r="W17" s="1"/>
      <c r="X17" s="1"/>
    </row>
    <row r="18" spans="1:24" ht="14.25" customHeight="1">
      <c r="A18" s="17" t="s">
        <v>94</v>
      </c>
      <c r="B18" s="32" t="s">
        <v>89</v>
      </c>
      <c r="C18" s="158" t="s">
        <v>100</v>
      </c>
      <c r="D18" s="109">
        <v>-50.439226072752582</v>
      </c>
      <c r="E18" s="109">
        <v>-21.205476000000004</v>
      </c>
      <c r="F18" s="17">
        <v>2016</v>
      </c>
      <c r="G18" s="19" t="s">
        <v>90</v>
      </c>
      <c r="H18" s="158" t="s">
        <v>188</v>
      </c>
      <c r="I18" s="17" t="s">
        <v>44</v>
      </c>
      <c r="J18" s="158" t="s">
        <v>93</v>
      </c>
      <c r="K18" s="2">
        <v>500</v>
      </c>
      <c r="L18" s="162">
        <v>292</v>
      </c>
      <c r="M18" s="111" t="s">
        <v>50</v>
      </c>
      <c r="N18" s="158" t="s">
        <v>88</v>
      </c>
      <c r="O18" s="112">
        <v>97.88</v>
      </c>
      <c r="P18" s="112">
        <v>3.1156058800817537</v>
      </c>
      <c r="T18" s="17"/>
      <c r="U18" s="17"/>
      <c r="V18" s="17"/>
      <c r="W18" s="17"/>
      <c r="X18" s="1"/>
    </row>
    <row r="19" spans="1:24" ht="14.25" customHeight="1">
      <c r="A19" s="17" t="s">
        <v>94</v>
      </c>
      <c r="B19" s="17" t="s">
        <v>89</v>
      </c>
      <c r="C19" s="17" t="s">
        <v>101</v>
      </c>
      <c r="D19" s="109">
        <v>-48.567377839455055</v>
      </c>
      <c r="E19" s="109">
        <v>-20.558455515000002</v>
      </c>
      <c r="F19" s="17">
        <v>2016</v>
      </c>
      <c r="G19" s="19" t="s">
        <v>90</v>
      </c>
      <c r="H19" s="158" t="s">
        <v>188</v>
      </c>
      <c r="I19" s="17" t="s">
        <v>44</v>
      </c>
      <c r="J19" s="158" t="s">
        <v>93</v>
      </c>
      <c r="K19" s="2">
        <v>400</v>
      </c>
      <c r="L19" s="162">
        <v>292</v>
      </c>
      <c r="M19" s="111" t="s">
        <v>50</v>
      </c>
      <c r="N19" s="158" t="s">
        <v>88</v>
      </c>
      <c r="O19" s="112">
        <v>95.224999999999994</v>
      </c>
      <c r="P19" s="112">
        <v>2.0822663934600993</v>
      </c>
      <c r="T19" s="161"/>
      <c r="U19" s="1"/>
      <c r="V19" s="1"/>
      <c r="W19" s="1"/>
      <c r="X19" s="1"/>
    </row>
    <row r="20" spans="1:24" ht="14.25" customHeight="1">
      <c r="A20" s="17" t="s">
        <v>94</v>
      </c>
      <c r="B20" s="17" t="s">
        <v>89</v>
      </c>
      <c r="C20" s="17" t="s">
        <v>102</v>
      </c>
      <c r="D20" s="109">
        <v>-49.083000867090362</v>
      </c>
      <c r="E20" s="109">
        <v>-22.325122500000006</v>
      </c>
      <c r="F20" s="17">
        <v>2016</v>
      </c>
      <c r="G20" s="19" t="s">
        <v>90</v>
      </c>
      <c r="H20" s="158" t="s">
        <v>188</v>
      </c>
      <c r="I20" s="17" t="s">
        <v>44</v>
      </c>
      <c r="J20" s="158" t="s">
        <v>93</v>
      </c>
      <c r="K20" s="2">
        <v>400</v>
      </c>
      <c r="L20" s="162">
        <v>292</v>
      </c>
      <c r="M20" s="111" t="s">
        <v>50</v>
      </c>
      <c r="N20" s="158" t="s">
        <v>88</v>
      </c>
      <c r="O20" s="112">
        <v>99.275000000000006</v>
      </c>
      <c r="P20" s="112">
        <v>0.91423921012683429</v>
      </c>
      <c r="T20" s="17"/>
      <c r="U20" s="17"/>
      <c r="V20" s="17"/>
      <c r="W20" s="17"/>
      <c r="X20" s="1"/>
    </row>
    <row r="21" spans="1:24" ht="14.25" customHeight="1">
      <c r="A21" s="17" t="s">
        <v>94</v>
      </c>
      <c r="B21" s="17" t="s">
        <v>89</v>
      </c>
      <c r="C21" s="17" t="s">
        <v>103</v>
      </c>
      <c r="D21" s="109">
        <v>-48.441289384350434</v>
      </c>
      <c r="E21" s="109">
        <v>-22.888381500000008</v>
      </c>
      <c r="F21" s="17">
        <v>2016</v>
      </c>
      <c r="G21" s="19" t="s">
        <v>90</v>
      </c>
      <c r="H21" s="158" t="s">
        <v>188</v>
      </c>
      <c r="I21" s="17" t="s">
        <v>44</v>
      </c>
      <c r="J21" s="158" t="s">
        <v>93</v>
      </c>
      <c r="K21" s="2">
        <v>400</v>
      </c>
      <c r="L21" s="162">
        <v>292</v>
      </c>
      <c r="M21" s="111" t="s">
        <v>50</v>
      </c>
      <c r="N21" s="158" t="s">
        <v>88</v>
      </c>
      <c r="O21" s="164">
        <v>100</v>
      </c>
      <c r="P21" s="112">
        <v>0</v>
      </c>
      <c r="T21" s="161"/>
      <c r="U21" s="1"/>
      <c r="V21" s="1"/>
      <c r="W21" s="1"/>
      <c r="X21" s="1"/>
    </row>
    <row r="22" spans="1:24" ht="14.25" customHeight="1">
      <c r="A22" s="17" t="s">
        <v>94</v>
      </c>
      <c r="B22" s="17" t="s">
        <v>89</v>
      </c>
      <c r="C22" s="17" t="s">
        <v>104</v>
      </c>
      <c r="D22" s="109">
        <v>-47.06015627297316</v>
      </c>
      <c r="E22" s="109">
        <v>-22.907342500000002</v>
      </c>
      <c r="F22" s="17">
        <v>2016</v>
      </c>
      <c r="G22" s="19" t="s">
        <v>90</v>
      </c>
      <c r="H22" s="158" t="s">
        <v>188</v>
      </c>
      <c r="I22" s="17" t="s">
        <v>44</v>
      </c>
      <c r="J22" s="158" t="s">
        <v>93</v>
      </c>
      <c r="K22" s="2">
        <v>400</v>
      </c>
      <c r="L22" s="162">
        <v>292</v>
      </c>
      <c r="M22" s="111" t="s">
        <v>50</v>
      </c>
      <c r="N22" s="158" t="s">
        <v>88</v>
      </c>
      <c r="O22" s="164">
        <v>100</v>
      </c>
      <c r="P22" s="112">
        <v>0</v>
      </c>
      <c r="T22" s="17"/>
      <c r="U22" s="17"/>
      <c r="V22" s="17"/>
      <c r="W22" s="17"/>
      <c r="X22" s="1"/>
    </row>
    <row r="23" spans="1:24" ht="14.25" customHeight="1">
      <c r="A23" s="17" t="s">
        <v>94</v>
      </c>
      <c r="B23" s="17" t="s">
        <v>89</v>
      </c>
      <c r="C23" s="158" t="s">
        <v>106</v>
      </c>
      <c r="D23" s="109">
        <v>-46.933372863488053</v>
      </c>
      <c r="E23" s="109">
        <v>-23.546934000000004</v>
      </c>
      <c r="F23" s="17">
        <v>2016</v>
      </c>
      <c r="G23" s="19" t="s">
        <v>90</v>
      </c>
      <c r="H23" s="158" t="s">
        <v>188</v>
      </c>
      <c r="I23" s="17" t="s">
        <v>44</v>
      </c>
      <c r="J23" s="158" t="s">
        <v>93</v>
      </c>
      <c r="K23" s="2">
        <v>400</v>
      </c>
      <c r="L23" s="162">
        <v>292</v>
      </c>
      <c r="M23" s="111" t="s">
        <v>50</v>
      </c>
      <c r="N23" s="158" t="s">
        <v>88</v>
      </c>
      <c r="O23" s="112">
        <v>99.75</v>
      </c>
      <c r="P23" s="112">
        <v>0.5</v>
      </c>
      <c r="T23" s="17"/>
      <c r="U23" s="1"/>
      <c r="V23" s="1"/>
      <c r="W23" s="1"/>
      <c r="X23" s="1"/>
    </row>
    <row r="24" spans="1:24" ht="14.25" customHeight="1">
      <c r="A24" s="17" t="s">
        <v>94</v>
      </c>
      <c r="B24" s="17" t="s">
        <v>89</v>
      </c>
      <c r="C24" s="17" t="s">
        <v>25</v>
      </c>
      <c r="D24" s="109">
        <v>-49.951645643103269</v>
      </c>
      <c r="E24" s="109">
        <v>-22.214933000000002</v>
      </c>
      <c r="F24" s="17">
        <v>2016</v>
      </c>
      <c r="G24" s="19" t="s">
        <v>90</v>
      </c>
      <c r="H24" s="158" t="s">
        <v>188</v>
      </c>
      <c r="I24" s="17" t="s">
        <v>44</v>
      </c>
      <c r="J24" s="158" t="s">
        <v>93</v>
      </c>
      <c r="K24" s="2">
        <v>400</v>
      </c>
      <c r="L24" s="162">
        <v>292</v>
      </c>
      <c r="M24" s="111" t="s">
        <v>50</v>
      </c>
      <c r="N24" s="158" t="s">
        <v>88</v>
      </c>
      <c r="O24" s="112">
        <v>99.75</v>
      </c>
      <c r="P24" s="112">
        <v>0.5</v>
      </c>
      <c r="T24" s="17"/>
      <c r="U24" s="17"/>
      <c r="V24" s="17"/>
      <c r="W24" s="17"/>
      <c r="X24" s="1"/>
    </row>
    <row r="25" spans="1:24" ht="14.25" customHeight="1">
      <c r="A25" s="17" t="s">
        <v>94</v>
      </c>
      <c r="B25" s="17" t="s">
        <v>89</v>
      </c>
      <c r="C25" s="17" t="s">
        <v>108</v>
      </c>
      <c r="D25" s="109">
        <v>-51.386765581912492</v>
      </c>
      <c r="E25" s="109">
        <v>-22.122743500000002</v>
      </c>
      <c r="F25" s="17">
        <v>2016</v>
      </c>
      <c r="G25" s="19" t="s">
        <v>90</v>
      </c>
      <c r="H25" s="158" t="s">
        <v>188</v>
      </c>
      <c r="I25" s="17" t="s">
        <v>44</v>
      </c>
      <c r="J25" s="158" t="s">
        <v>93</v>
      </c>
      <c r="K25" s="2">
        <v>400</v>
      </c>
      <c r="L25" s="162">
        <v>292</v>
      </c>
      <c r="M25" s="111" t="s">
        <v>50</v>
      </c>
      <c r="N25" s="158" t="s">
        <v>88</v>
      </c>
      <c r="O25" s="112">
        <v>99.25</v>
      </c>
      <c r="P25" s="112">
        <v>0.9574271077563381</v>
      </c>
      <c r="T25" s="1"/>
      <c r="U25" s="117"/>
      <c r="V25" s="116"/>
      <c r="W25" s="1"/>
      <c r="X25" s="1"/>
    </row>
    <row r="26" spans="1:24" ht="14.25" customHeight="1">
      <c r="A26" s="17" t="s">
        <v>94</v>
      </c>
      <c r="B26" s="17" t="s">
        <v>89</v>
      </c>
      <c r="C26" s="158" t="s">
        <v>175</v>
      </c>
      <c r="D26" s="109">
        <v>-47.841054751674982</v>
      </c>
      <c r="E26" s="109">
        <v>-24.494251427999906</v>
      </c>
      <c r="F26" s="17">
        <v>2016</v>
      </c>
      <c r="G26" s="19" t="s">
        <v>90</v>
      </c>
      <c r="H26" s="158" t="s">
        <v>188</v>
      </c>
      <c r="I26" s="17" t="s">
        <v>44</v>
      </c>
      <c r="J26" s="158" t="s">
        <v>93</v>
      </c>
      <c r="K26" s="2">
        <v>400</v>
      </c>
      <c r="L26" s="162">
        <v>292</v>
      </c>
      <c r="M26" s="111" t="s">
        <v>50</v>
      </c>
      <c r="N26" s="158" t="s">
        <v>88</v>
      </c>
      <c r="O26" s="112">
        <v>99.224999999999994</v>
      </c>
      <c r="P26" s="112">
        <v>0.96738479072876282</v>
      </c>
      <c r="T26" s="1"/>
      <c r="U26" s="117"/>
      <c r="V26" s="116"/>
      <c r="W26" s="1"/>
      <c r="X26" s="1"/>
    </row>
    <row r="27" spans="1:24" ht="14.25" customHeight="1">
      <c r="A27" s="17" t="s">
        <v>94</v>
      </c>
      <c r="B27" s="17" t="s">
        <v>89</v>
      </c>
      <c r="C27" s="158" t="s">
        <v>109</v>
      </c>
      <c r="D27" s="109">
        <v>-47.805475915541528</v>
      </c>
      <c r="E27" s="109">
        <v>-21.184834500000004</v>
      </c>
      <c r="F27" s="17">
        <v>2016</v>
      </c>
      <c r="G27" s="19" t="s">
        <v>90</v>
      </c>
      <c r="H27" s="158" t="s">
        <v>188</v>
      </c>
      <c r="I27" s="17" t="s">
        <v>44</v>
      </c>
      <c r="J27" s="158" t="s">
        <v>93</v>
      </c>
      <c r="K27" s="2">
        <v>400</v>
      </c>
      <c r="L27" s="162">
        <v>292</v>
      </c>
      <c r="M27" s="111" t="s">
        <v>50</v>
      </c>
      <c r="N27" s="158" t="s">
        <v>88</v>
      </c>
      <c r="O27" s="112">
        <v>98.754999999999995</v>
      </c>
      <c r="P27" s="112">
        <v>1.8938760959119436</v>
      </c>
      <c r="T27" s="1"/>
      <c r="U27" s="118"/>
      <c r="V27" s="116"/>
      <c r="W27" s="1"/>
      <c r="X27" s="1"/>
    </row>
    <row r="28" spans="1:24" ht="14.25" customHeight="1">
      <c r="A28" s="17" t="s">
        <v>94</v>
      </c>
      <c r="B28" s="17" t="s">
        <v>89</v>
      </c>
      <c r="C28" s="17" t="s">
        <v>127</v>
      </c>
      <c r="D28" s="109">
        <v>-46.922092505649722</v>
      </c>
      <c r="E28" s="109">
        <v>-23.449453000000005</v>
      </c>
      <c r="F28" s="17">
        <v>2016</v>
      </c>
      <c r="G28" s="19" t="s">
        <v>90</v>
      </c>
      <c r="H28" s="158" t="s">
        <v>188</v>
      </c>
      <c r="I28" s="17" t="s">
        <v>44</v>
      </c>
      <c r="J28" s="158" t="s">
        <v>93</v>
      </c>
      <c r="K28" s="2">
        <v>500</v>
      </c>
      <c r="L28" s="162">
        <v>292</v>
      </c>
      <c r="M28" s="111" t="s">
        <v>50</v>
      </c>
      <c r="N28" s="158" t="s">
        <v>88</v>
      </c>
      <c r="O28" s="112">
        <v>99.2</v>
      </c>
      <c r="P28" s="112">
        <v>0.83666002653407556</v>
      </c>
      <c r="T28" s="116"/>
      <c r="U28" s="1"/>
      <c r="V28" s="1"/>
      <c r="W28" s="1"/>
      <c r="X28" s="1"/>
    </row>
    <row r="29" spans="1:24" ht="14.25" customHeight="1">
      <c r="A29" s="17" t="s">
        <v>94</v>
      </c>
      <c r="B29" s="17" t="s">
        <v>89</v>
      </c>
      <c r="C29" s="158" t="s">
        <v>110</v>
      </c>
      <c r="D29" s="109">
        <v>-46.331370849190684</v>
      </c>
      <c r="E29" s="109">
        <v>-23.933737500000003</v>
      </c>
      <c r="F29" s="17">
        <v>2016</v>
      </c>
      <c r="G29" s="19" t="s">
        <v>90</v>
      </c>
      <c r="H29" s="158" t="s">
        <v>188</v>
      </c>
      <c r="I29" s="17" t="s">
        <v>44</v>
      </c>
      <c r="J29" s="158" t="s">
        <v>93</v>
      </c>
      <c r="K29" s="2">
        <v>400</v>
      </c>
      <c r="L29" s="162">
        <v>292</v>
      </c>
      <c r="M29" s="111" t="s">
        <v>50</v>
      </c>
      <c r="N29" s="158" t="s">
        <v>88</v>
      </c>
      <c r="O29" s="164">
        <v>100</v>
      </c>
      <c r="P29" s="112">
        <v>0</v>
      </c>
      <c r="T29" s="116"/>
      <c r="U29" s="1"/>
      <c r="V29" s="1"/>
      <c r="W29" s="1"/>
      <c r="X29" s="1"/>
    </row>
    <row r="30" spans="1:24" ht="14.25" customHeight="1">
      <c r="A30" s="17" t="s">
        <v>94</v>
      </c>
      <c r="B30" s="17" t="s">
        <v>89</v>
      </c>
      <c r="C30" s="67" t="s">
        <v>131</v>
      </c>
      <c r="D30" s="109">
        <v>-49.381347685025794</v>
      </c>
      <c r="E30" s="109">
        <v>-20.812636500000004</v>
      </c>
      <c r="F30" s="17">
        <v>2016</v>
      </c>
      <c r="G30" s="19" t="s">
        <v>90</v>
      </c>
      <c r="H30" s="158" t="s">
        <v>188</v>
      </c>
      <c r="I30" s="17" t="s">
        <v>44</v>
      </c>
      <c r="J30" s="158" t="s">
        <v>93</v>
      </c>
      <c r="K30" s="2">
        <v>400</v>
      </c>
      <c r="L30" s="162">
        <v>292</v>
      </c>
      <c r="M30" s="111" t="s">
        <v>50</v>
      </c>
      <c r="N30" s="158" t="s">
        <v>88</v>
      </c>
      <c r="O30" s="112">
        <v>97.95</v>
      </c>
      <c r="P30" s="112">
        <v>3.4655446902326923</v>
      </c>
      <c r="T30" s="116"/>
      <c r="U30" s="1"/>
      <c r="V30" s="1"/>
      <c r="W30" s="1"/>
      <c r="X30" s="1"/>
    </row>
    <row r="31" spans="1:24" ht="14.25" customHeight="1">
      <c r="A31" s="17" t="s">
        <v>94</v>
      </c>
      <c r="B31" s="17" t="s">
        <v>89</v>
      </c>
      <c r="C31" s="158" t="s">
        <v>46</v>
      </c>
      <c r="D31" s="109">
        <v>-45.884175401459665</v>
      </c>
      <c r="E31" s="109">
        <v>-23.184061500000002</v>
      </c>
      <c r="F31" s="17">
        <v>2016</v>
      </c>
      <c r="G31" s="19" t="s">
        <v>90</v>
      </c>
      <c r="H31" s="158" t="s">
        <v>188</v>
      </c>
      <c r="I31" s="17" t="s">
        <v>44</v>
      </c>
      <c r="J31" s="158" t="s">
        <v>93</v>
      </c>
      <c r="K31" s="2">
        <v>400</v>
      </c>
      <c r="L31" s="162">
        <v>292</v>
      </c>
      <c r="M31" s="111" t="s">
        <v>50</v>
      </c>
      <c r="N31" s="158" t="s">
        <v>88</v>
      </c>
      <c r="O31" s="113">
        <v>98.525000000000006</v>
      </c>
      <c r="P31" s="113">
        <v>1.8714967272212928</v>
      </c>
      <c r="Q31" s="1"/>
      <c r="R31" s="1"/>
      <c r="T31" s="116"/>
      <c r="U31" s="1"/>
      <c r="V31" s="1"/>
      <c r="W31" s="1"/>
      <c r="X31" s="1"/>
    </row>
    <row r="32" spans="1:24" ht="14.25" customHeight="1" thickBot="1">
      <c r="A32" s="21" t="s">
        <v>94</v>
      </c>
      <c r="B32" s="21" t="s">
        <v>89</v>
      </c>
      <c r="C32" s="11" t="s">
        <v>113</v>
      </c>
      <c r="D32" s="110">
        <v>-45.402680140543957</v>
      </c>
      <c r="E32" s="110">
        <v>-23.806687652148753</v>
      </c>
      <c r="F32" s="21">
        <v>2016</v>
      </c>
      <c r="G32" s="22" t="s">
        <v>90</v>
      </c>
      <c r="H32" s="11" t="s">
        <v>188</v>
      </c>
      <c r="I32" s="21" t="s">
        <v>44</v>
      </c>
      <c r="J32" s="11" t="s">
        <v>93</v>
      </c>
      <c r="K32" s="49">
        <v>400</v>
      </c>
      <c r="L32" s="163">
        <v>292</v>
      </c>
      <c r="M32" s="114" t="s">
        <v>50</v>
      </c>
      <c r="N32" s="11" t="s">
        <v>88</v>
      </c>
      <c r="O32" s="115">
        <v>96.575000000000003</v>
      </c>
      <c r="P32" s="115">
        <v>3.5188776619825832</v>
      </c>
      <c r="Q32" s="1"/>
      <c r="R32" s="1"/>
      <c r="T32" s="116"/>
      <c r="U32" s="1"/>
      <c r="V32" s="1"/>
      <c r="W32" s="1"/>
      <c r="X32" s="1"/>
    </row>
    <row r="33" spans="1:24" ht="14.25" customHeight="1">
      <c r="A33" s="17" t="s">
        <v>94</v>
      </c>
      <c r="B33" s="32" t="s">
        <v>89</v>
      </c>
      <c r="C33" s="158" t="s">
        <v>100</v>
      </c>
      <c r="D33" s="109">
        <v>-50.439226072752582</v>
      </c>
      <c r="E33" s="109">
        <v>-21.205476000000004</v>
      </c>
      <c r="F33" s="17">
        <v>2016</v>
      </c>
      <c r="G33" s="19" t="s">
        <v>90</v>
      </c>
      <c r="H33" s="158" t="s">
        <v>188</v>
      </c>
      <c r="I33" s="17" t="s">
        <v>44</v>
      </c>
      <c r="J33" s="158" t="s">
        <v>47</v>
      </c>
      <c r="K33" s="1">
        <v>400</v>
      </c>
      <c r="L33" s="162">
        <v>143</v>
      </c>
      <c r="M33" s="111" t="s">
        <v>50</v>
      </c>
      <c r="N33" s="158" t="s">
        <v>88</v>
      </c>
      <c r="O33" s="116">
        <v>43</v>
      </c>
      <c r="P33" s="28">
        <v>19.524514505274311</v>
      </c>
      <c r="Q33" s="1"/>
      <c r="R33" s="118"/>
      <c r="T33" s="116"/>
      <c r="U33" s="1"/>
      <c r="V33" s="1"/>
      <c r="W33" s="1"/>
      <c r="X33" s="1"/>
    </row>
    <row r="34" spans="1:24" ht="14.25" customHeight="1">
      <c r="A34" s="17" t="s">
        <v>94</v>
      </c>
      <c r="B34" s="17" t="s">
        <v>89</v>
      </c>
      <c r="C34" s="17" t="s">
        <v>101</v>
      </c>
      <c r="D34" s="109">
        <v>-48.567377839455055</v>
      </c>
      <c r="E34" s="109">
        <v>-20.558455515000002</v>
      </c>
      <c r="F34" s="17">
        <v>2016</v>
      </c>
      <c r="G34" s="19" t="s">
        <v>90</v>
      </c>
      <c r="H34" s="158" t="s">
        <v>188</v>
      </c>
      <c r="I34" s="17" t="s">
        <v>44</v>
      </c>
      <c r="J34" s="158" t="s">
        <v>47</v>
      </c>
      <c r="K34" s="1">
        <v>400</v>
      </c>
      <c r="L34" s="162">
        <v>143</v>
      </c>
      <c r="M34" s="111" t="s">
        <v>50</v>
      </c>
      <c r="N34" s="158" t="s">
        <v>88</v>
      </c>
      <c r="O34" s="116">
        <v>30.55</v>
      </c>
      <c r="P34" s="28">
        <v>6.5531163070201419</v>
      </c>
      <c r="Q34" s="1"/>
      <c r="R34" s="118"/>
      <c r="T34" s="116"/>
      <c r="U34" s="1"/>
      <c r="V34" s="1"/>
      <c r="W34" s="1"/>
      <c r="X34" s="1"/>
    </row>
    <row r="35" spans="1:24" ht="14.25" customHeight="1">
      <c r="A35" s="17" t="s">
        <v>94</v>
      </c>
      <c r="B35" s="17" t="s">
        <v>89</v>
      </c>
      <c r="C35" s="17" t="s">
        <v>102</v>
      </c>
      <c r="D35" s="109">
        <v>-49.083000867090362</v>
      </c>
      <c r="E35" s="109">
        <v>-22.325122500000006</v>
      </c>
      <c r="F35" s="17">
        <v>2016</v>
      </c>
      <c r="G35" s="19" t="s">
        <v>90</v>
      </c>
      <c r="H35" s="158" t="s">
        <v>188</v>
      </c>
      <c r="I35" s="17" t="s">
        <v>44</v>
      </c>
      <c r="J35" s="158" t="s">
        <v>47</v>
      </c>
      <c r="K35" s="1">
        <v>400</v>
      </c>
      <c r="L35" s="162">
        <v>143</v>
      </c>
      <c r="M35" s="111" t="s">
        <v>50</v>
      </c>
      <c r="N35" s="158" t="s">
        <v>88</v>
      </c>
      <c r="O35" s="116">
        <v>57.124999999999993</v>
      </c>
      <c r="P35" s="28">
        <v>21.964270228411127</v>
      </c>
      <c r="Q35" s="1"/>
      <c r="R35" s="118"/>
      <c r="T35" s="116"/>
      <c r="U35" s="1"/>
      <c r="V35" s="1"/>
      <c r="W35" s="1"/>
      <c r="X35" s="1"/>
    </row>
    <row r="36" spans="1:24" ht="14.25" customHeight="1">
      <c r="A36" s="17" t="s">
        <v>94</v>
      </c>
      <c r="B36" s="17" t="s">
        <v>89</v>
      </c>
      <c r="C36" s="17" t="s">
        <v>103</v>
      </c>
      <c r="D36" s="109">
        <v>-48.441289384350434</v>
      </c>
      <c r="E36" s="109">
        <v>-22.888381500000008</v>
      </c>
      <c r="F36" s="17">
        <v>2016</v>
      </c>
      <c r="G36" s="19" t="s">
        <v>90</v>
      </c>
      <c r="H36" s="158" t="s">
        <v>188</v>
      </c>
      <c r="I36" s="17" t="s">
        <v>44</v>
      </c>
      <c r="J36" s="158" t="s">
        <v>47</v>
      </c>
      <c r="K36" s="1">
        <v>400</v>
      </c>
      <c r="L36" s="162">
        <v>143</v>
      </c>
      <c r="M36" s="111" t="s">
        <v>50</v>
      </c>
      <c r="N36" s="158" t="s">
        <v>88</v>
      </c>
      <c r="O36" s="116">
        <v>80.199999999999989</v>
      </c>
      <c r="P36" s="28">
        <v>13.272779161376457</v>
      </c>
      <c r="Q36" s="1"/>
      <c r="R36" s="118"/>
      <c r="T36" s="116"/>
      <c r="U36" s="1"/>
      <c r="V36" s="1"/>
      <c r="W36" s="1"/>
      <c r="X36" s="1"/>
    </row>
    <row r="37" spans="1:24" ht="14.25" customHeight="1">
      <c r="A37" s="17" t="s">
        <v>94</v>
      </c>
      <c r="B37" s="17" t="s">
        <v>89</v>
      </c>
      <c r="C37" s="17" t="s">
        <v>104</v>
      </c>
      <c r="D37" s="109">
        <v>-47.06015627297316</v>
      </c>
      <c r="E37" s="109">
        <v>-22.907342500000002</v>
      </c>
      <c r="F37" s="17">
        <v>2016</v>
      </c>
      <c r="G37" s="19" t="s">
        <v>90</v>
      </c>
      <c r="H37" s="158" t="s">
        <v>188</v>
      </c>
      <c r="I37" s="17" t="s">
        <v>44</v>
      </c>
      <c r="J37" s="158" t="s">
        <v>47</v>
      </c>
      <c r="K37" s="1">
        <v>400</v>
      </c>
      <c r="L37" s="162">
        <v>143</v>
      </c>
      <c r="M37" s="111" t="s">
        <v>50</v>
      </c>
      <c r="N37" s="158" t="s">
        <v>88</v>
      </c>
      <c r="O37" s="116">
        <v>59.7</v>
      </c>
      <c r="P37" s="28">
        <v>8.5143016938168916</v>
      </c>
      <c r="Q37" s="1"/>
      <c r="R37" s="118"/>
      <c r="T37" s="1"/>
      <c r="U37" s="1"/>
      <c r="V37" s="1"/>
      <c r="W37" s="1"/>
      <c r="X37" s="1"/>
    </row>
    <row r="38" spans="1:24" ht="14.25" customHeight="1">
      <c r="A38" s="17" t="s">
        <v>94</v>
      </c>
      <c r="B38" s="17" t="s">
        <v>89</v>
      </c>
      <c r="C38" s="158" t="s">
        <v>106</v>
      </c>
      <c r="D38" s="109">
        <v>-46.933372863488053</v>
      </c>
      <c r="E38" s="109">
        <v>-23.546934000000004</v>
      </c>
      <c r="F38" s="17">
        <v>2016</v>
      </c>
      <c r="G38" s="19" t="s">
        <v>90</v>
      </c>
      <c r="H38" s="158" t="s">
        <v>188</v>
      </c>
      <c r="I38" s="17" t="s">
        <v>44</v>
      </c>
      <c r="J38" s="158" t="s">
        <v>47</v>
      </c>
      <c r="K38" s="1">
        <v>400</v>
      </c>
      <c r="L38" s="162">
        <v>143</v>
      </c>
      <c r="M38" s="111" t="s">
        <v>50</v>
      </c>
      <c r="N38" s="158" t="s">
        <v>88</v>
      </c>
      <c r="O38" s="116">
        <v>36.999999999999993</v>
      </c>
      <c r="P38" s="28">
        <v>10.323032500191031</v>
      </c>
      <c r="Q38" s="1"/>
      <c r="R38" s="118"/>
      <c r="T38" s="1"/>
      <c r="U38" s="1"/>
      <c r="V38" s="1"/>
      <c r="W38" s="1"/>
      <c r="X38" s="1"/>
    </row>
    <row r="39" spans="1:24" ht="14.25" customHeight="1">
      <c r="A39" s="17" t="s">
        <v>94</v>
      </c>
      <c r="B39" s="17" t="s">
        <v>89</v>
      </c>
      <c r="C39" s="17" t="s">
        <v>25</v>
      </c>
      <c r="D39" s="109">
        <v>-49.951645643103269</v>
      </c>
      <c r="E39" s="109">
        <v>-22.214933000000002</v>
      </c>
      <c r="F39" s="17">
        <v>2016</v>
      </c>
      <c r="G39" s="19" t="s">
        <v>90</v>
      </c>
      <c r="H39" s="158" t="s">
        <v>188</v>
      </c>
      <c r="I39" s="17" t="s">
        <v>44</v>
      </c>
      <c r="J39" s="158" t="s">
        <v>47</v>
      </c>
      <c r="K39" s="1">
        <v>500</v>
      </c>
      <c r="L39" s="162">
        <v>143</v>
      </c>
      <c r="M39" s="111" t="s">
        <v>50</v>
      </c>
      <c r="N39" s="158" t="s">
        <v>88</v>
      </c>
      <c r="O39" s="116">
        <v>79.474999999999994</v>
      </c>
      <c r="P39" s="28">
        <v>8.2176131976789168</v>
      </c>
      <c r="Q39" s="1"/>
      <c r="R39" s="118"/>
      <c r="S39" s="1"/>
      <c r="T39" s="1"/>
      <c r="U39" s="1"/>
      <c r="V39" s="1"/>
      <c r="W39" s="1"/>
      <c r="X39" s="1"/>
    </row>
    <row r="40" spans="1:24" ht="14.25" customHeight="1">
      <c r="A40" s="17" t="s">
        <v>94</v>
      </c>
      <c r="B40" s="17" t="s">
        <v>89</v>
      </c>
      <c r="C40" s="17" t="s">
        <v>108</v>
      </c>
      <c r="D40" s="109">
        <v>-51.386765581912492</v>
      </c>
      <c r="E40" s="109">
        <v>-22.122743500000002</v>
      </c>
      <c r="F40" s="17">
        <v>2016</v>
      </c>
      <c r="G40" s="19" t="s">
        <v>90</v>
      </c>
      <c r="H40" s="158" t="s">
        <v>188</v>
      </c>
      <c r="I40" s="17" t="s">
        <v>44</v>
      </c>
      <c r="J40" s="158" t="s">
        <v>47</v>
      </c>
      <c r="K40" s="1">
        <v>400</v>
      </c>
      <c r="L40" s="162">
        <v>143</v>
      </c>
      <c r="M40" s="111" t="s">
        <v>50</v>
      </c>
      <c r="N40" s="158" t="s">
        <v>88</v>
      </c>
      <c r="O40" s="116">
        <v>29.175000000000001</v>
      </c>
      <c r="P40" s="28">
        <v>15.831903444206151</v>
      </c>
      <c r="Q40" s="1"/>
      <c r="R40" s="118"/>
      <c r="S40" s="1"/>
      <c r="T40" s="1"/>
      <c r="U40" s="1"/>
      <c r="V40" s="1"/>
      <c r="W40" s="1"/>
      <c r="X40" s="1"/>
    </row>
    <row r="41" spans="1:24" ht="14.25" customHeight="1">
      <c r="A41" s="17" t="s">
        <v>94</v>
      </c>
      <c r="B41" s="17" t="s">
        <v>89</v>
      </c>
      <c r="C41" s="158" t="s">
        <v>175</v>
      </c>
      <c r="D41" s="109">
        <v>-47.841054751674982</v>
      </c>
      <c r="E41" s="109">
        <v>-24.494251427999906</v>
      </c>
      <c r="F41" s="17">
        <v>2016</v>
      </c>
      <c r="G41" s="19" t="s">
        <v>90</v>
      </c>
      <c r="H41" s="158" t="s">
        <v>188</v>
      </c>
      <c r="I41" s="17" t="s">
        <v>44</v>
      </c>
      <c r="J41" s="158" t="s">
        <v>47</v>
      </c>
      <c r="K41" s="1">
        <v>400</v>
      </c>
      <c r="L41" s="162">
        <v>143</v>
      </c>
      <c r="M41" s="111" t="s">
        <v>50</v>
      </c>
      <c r="N41" s="158" t="s">
        <v>88</v>
      </c>
      <c r="O41" s="116">
        <v>64</v>
      </c>
      <c r="P41" s="28">
        <v>20.500243900988096</v>
      </c>
      <c r="Q41" s="1"/>
      <c r="R41" s="117"/>
      <c r="S41" s="1"/>
      <c r="X41" s="1"/>
    </row>
    <row r="42" spans="1:24" ht="14.25" customHeight="1">
      <c r="A42" s="17" t="s">
        <v>94</v>
      </c>
      <c r="B42" s="17" t="s">
        <v>89</v>
      </c>
      <c r="C42" s="158" t="s">
        <v>109</v>
      </c>
      <c r="D42" s="109">
        <v>-47.805475915541528</v>
      </c>
      <c r="E42" s="109">
        <v>-21.184834500000004</v>
      </c>
      <c r="F42" s="17">
        <v>2016</v>
      </c>
      <c r="G42" s="19" t="s">
        <v>90</v>
      </c>
      <c r="H42" s="158" t="s">
        <v>188</v>
      </c>
      <c r="I42" s="17" t="s">
        <v>44</v>
      </c>
      <c r="J42" s="158" t="s">
        <v>47</v>
      </c>
      <c r="K42" s="1">
        <v>400</v>
      </c>
      <c r="L42" s="162">
        <v>143</v>
      </c>
      <c r="M42" s="111" t="s">
        <v>50</v>
      </c>
      <c r="N42" s="158" t="s">
        <v>88</v>
      </c>
      <c r="O42" s="116">
        <v>49.25</v>
      </c>
      <c r="P42" s="28">
        <v>6.6880490428823984</v>
      </c>
      <c r="Q42" s="1"/>
      <c r="R42" s="118"/>
      <c r="S42" s="1"/>
      <c r="X42" s="1"/>
    </row>
    <row r="43" spans="1:24" ht="14.25" customHeight="1">
      <c r="A43" s="17" t="s">
        <v>94</v>
      </c>
      <c r="B43" s="17" t="s">
        <v>89</v>
      </c>
      <c r="C43" s="17" t="s">
        <v>127</v>
      </c>
      <c r="D43" s="109">
        <v>-46.922092505649722</v>
      </c>
      <c r="E43" s="109">
        <v>-23.449453000000005</v>
      </c>
      <c r="F43" s="17">
        <v>2016</v>
      </c>
      <c r="G43" s="19" t="s">
        <v>90</v>
      </c>
      <c r="H43" s="158" t="s">
        <v>188</v>
      </c>
      <c r="I43" s="17" t="s">
        <v>44</v>
      </c>
      <c r="J43" s="158" t="s">
        <v>47</v>
      </c>
      <c r="K43" s="1">
        <v>400</v>
      </c>
      <c r="L43" s="162">
        <v>143</v>
      </c>
      <c r="M43" s="111" t="s">
        <v>50</v>
      </c>
      <c r="N43" s="158" t="s">
        <v>88</v>
      </c>
      <c r="O43" s="116">
        <v>48.8</v>
      </c>
      <c r="P43" s="28">
        <v>8.9736651746467153</v>
      </c>
      <c r="Q43" s="1"/>
      <c r="R43" s="118"/>
      <c r="S43" s="1"/>
      <c r="X43" s="1"/>
    </row>
    <row r="44" spans="1:24" ht="14.25" customHeight="1">
      <c r="A44" s="17" t="s">
        <v>94</v>
      </c>
      <c r="B44" s="17" t="s">
        <v>89</v>
      </c>
      <c r="C44" s="158" t="s">
        <v>110</v>
      </c>
      <c r="D44" s="109">
        <v>-46.331370849190684</v>
      </c>
      <c r="E44" s="109">
        <v>-23.933737500000003</v>
      </c>
      <c r="F44" s="17">
        <v>2016</v>
      </c>
      <c r="G44" s="19" t="s">
        <v>90</v>
      </c>
      <c r="H44" s="158" t="s">
        <v>188</v>
      </c>
      <c r="I44" s="17" t="s">
        <v>44</v>
      </c>
      <c r="J44" s="158" t="s">
        <v>47</v>
      </c>
      <c r="K44" s="1">
        <v>400</v>
      </c>
      <c r="L44" s="162">
        <v>143</v>
      </c>
      <c r="M44" s="111" t="s">
        <v>50</v>
      </c>
      <c r="N44" s="158" t="s">
        <v>88</v>
      </c>
      <c r="O44" s="116">
        <v>55.650000000000006</v>
      </c>
      <c r="P44" s="28">
        <v>11.309140845646304</v>
      </c>
      <c r="Q44" s="1"/>
      <c r="R44" s="117"/>
      <c r="S44" s="1"/>
      <c r="X44" s="1"/>
    </row>
    <row r="45" spans="1:24" ht="14.25" customHeight="1">
      <c r="A45" s="17" t="s">
        <v>94</v>
      </c>
      <c r="B45" s="17" t="s">
        <v>89</v>
      </c>
      <c r="C45" s="67" t="s">
        <v>131</v>
      </c>
      <c r="D45" s="109">
        <v>-49.381347685025794</v>
      </c>
      <c r="E45" s="109">
        <v>-20.812636500000004</v>
      </c>
      <c r="F45" s="17">
        <v>2016</v>
      </c>
      <c r="G45" s="19" t="s">
        <v>90</v>
      </c>
      <c r="H45" s="158" t="s">
        <v>188</v>
      </c>
      <c r="I45" s="17" t="s">
        <v>44</v>
      </c>
      <c r="J45" s="158" t="s">
        <v>47</v>
      </c>
      <c r="K45" s="1">
        <v>700</v>
      </c>
      <c r="L45" s="162">
        <v>143</v>
      </c>
      <c r="M45" s="111" t="s">
        <v>50</v>
      </c>
      <c r="N45" s="158" t="s">
        <v>88</v>
      </c>
      <c r="O45" s="116">
        <v>37.542857142857144</v>
      </c>
      <c r="P45" s="28">
        <v>12.632083114416382</v>
      </c>
      <c r="Q45" s="1"/>
      <c r="R45" s="117"/>
      <c r="S45" s="1"/>
      <c r="X45" s="1"/>
    </row>
    <row r="46" spans="1:24" ht="14.25" customHeight="1">
      <c r="A46" s="17" t="s">
        <v>94</v>
      </c>
      <c r="B46" s="17" t="s">
        <v>89</v>
      </c>
      <c r="C46" s="158" t="s">
        <v>46</v>
      </c>
      <c r="D46" s="109">
        <v>-45.884175401459665</v>
      </c>
      <c r="E46" s="109">
        <v>-23.184061500000002</v>
      </c>
      <c r="F46" s="17">
        <v>2016</v>
      </c>
      <c r="G46" s="19" t="s">
        <v>90</v>
      </c>
      <c r="H46" s="158" t="s">
        <v>188</v>
      </c>
      <c r="I46" s="17" t="s">
        <v>44</v>
      </c>
      <c r="J46" s="158" t="s">
        <v>47</v>
      </c>
      <c r="K46" s="1">
        <v>400</v>
      </c>
      <c r="L46" s="162">
        <v>143</v>
      </c>
      <c r="M46" s="111" t="s">
        <v>50</v>
      </c>
      <c r="N46" s="158" t="s">
        <v>88</v>
      </c>
      <c r="O46" s="116">
        <v>25.875</v>
      </c>
      <c r="P46" s="28">
        <v>6.9963681054291751</v>
      </c>
      <c r="Q46" s="1"/>
      <c r="R46" s="117"/>
      <c r="S46" s="1"/>
      <c r="X46" s="1"/>
    </row>
    <row r="47" spans="1:24" ht="14.25" customHeight="1" thickBot="1">
      <c r="A47" s="21" t="s">
        <v>94</v>
      </c>
      <c r="B47" s="21" t="s">
        <v>89</v>
      </c>
      <c r="C47" s="11" t="s">
        <v>113</v>
      </c>
      <c r="D47" s="110">
        <v>-45.402680140543957</v>
      </c>
      <c r="E47" s="110">
        <v>-23.806687652148753</v>
      </c>
      <c r="F47" s="21">
        <v>2016</v>
      </c>
      <c r="G47" s="22" t="s">
        <v>90</v>
      </c>
      <c r="H47" s="11" t="s">
        <v>188</v>
      </c>
      <c r="I47" s="21" t="s">
        <v>44</v>
      </c>
      <c r="J47" s="11" t="s">
        <v>47</v>
      </c>
      <c r="K47" s="49">
        <v>300</v>
      </c>
      <c r="L47" s="163">
        <v>143</v>
      </c>
      <c r="M47" s="114" t="s">
        <v>50</v>
      </c>
      <c r="N47" s="11" t="s">
        <v>88</v>
      </c>
      <c r="O47" s="119">
        <v>49.300000000000004</v>
      </c>
      <c r="P47" s="25">
        <v>51.406662992261992</v>
      </c>
      <c r="Q47" s="1"/>
      <c r="R47" s="117"/>
      <c r="S47" s="1"/>
    </row>
    <row r="48" spans="1:24" ht="14.25" customHeight="1">
      <c r="A48" s="17" t="s">
        <v>94</v>
      </c>
      <c r="B48" s="32" t="s">
        <v>89</v>
      </c>
      <c r="C48" s="158" t="s">
        <v>100</v>
      </c>
      <c r="D48" s="109">
        <v>-50.439226072752582</v>
      </c>
      <c r="E48" s="109">
        <v>-21.205476000000004</v>
      </c>
      <c r="F48" s="17">
        <v>2016</v>
      </c>
      <c r="G48" s="19" t="s">
        <v>90</v>
      </c>
      <c r="H48" s="158" t="s">
        <v>188</v>
      </c>
      <c r="I48" s="32" t="s">
        <v>43</v>
      </c>
      <c r="J48" s="32" t="s">
        <v>21</v>
      </c>
      <c r="K48" s="17">
        <v>225</v>
      </c>
      <c r="L48" s="31">
        <v>5</v>
      </c>
      <c r="M48" s="83" t="s">
        <v>49</v>
      </c>
      <c r="N48" s="158" t="s">
        <v>38</v>
      </c>
      <c r="O48" s="112">
        <v>34.4</v>
      </c>
      <c r="P48" s="112">
        <v>14.589036979869505</v>
      </c>
      <c r="Q48" s="1"/>
      <c r="R48" s="10"/>
      <c r="S48" s="5"/>
    </row>
    <row r="49" spans="1:19" ht="14.25" customHeight="1">
      <c r="A49" s="17" t="s">
        <v>94</v>
      </c>
      <c r="B49" s="17" t="s">
        <v>89</v>
      </c>
      <c r="C49" s="17" t="s">
        <v>101</v>
      </c>
      <c r="D49" s="109">
        <v>-48.567377839455055</v>
      </c>
      <c r="E49" s="109">
        <v>-20.558455515000002</v>
      </c>
      <c r="F49" s="17">
        <v>2016</v>
      </c>
      <c r="G49" s="19" t="s">
        <v>90</v>
      </c>
      <c r="H49" s="158" t="s">
        <v>188</v>
      </c>
      <c r="I49" s="17" t="s">
        <v>43</v>
      </c>
      <c r="J49" s="17" t="s">
        <v>21</v>
      </c>
      <c r="K49" s="17">
        <v>180</v>
      </c>
      <c r="L49" s="31">
        <v>5</v>
      </c>
      <c r="M49" s="83" t="s">
        <v>49</v>
      </c>
      <c r="N49" s="158" t="s">
        <v>38</v>
      </c>
      <c r="O49" s="112">
        <v>41.024999999999999</v>
      </c>
      <c r="P49" s="112">
        <v>26.573216465707226</v>
      </c>
      <c r="Q49" s="1"/>
      <c r="R49" s="10"/>
      <c r="S49" s="5"/>
    </row>
    <row r="50" spans="1:19" ht="14.25" customHeight="1">
      <c r="A50" s="17" t="s">
        <v>94</v>
      </c>
      <c r="B50" s="17" t="s">
        <v>89</v>
      </c>
      <c r="C50" s="17" t="s">
        <v>102</v>
      </c>
      <c r="D50" s="109">
        <v>-49.083000867090362</v>
      </c>
      <c r="E50" s="109">
        <v>-22.325122500000006</v>
      </c>
      <c r="F50" s="17">
        <v>2016</v>
      </c>
      <c r="G50" s="19" t="s">
        <v>90</v>
      </c>
      <c r="H50" s="158" t="s">
        <v>188</v>
      </c>
      <c r="I50" s="17" t="s">
        <v>43</v>
      </c>
      <c r="J50" s="17" t="s">
        <v>21</v>
      </c>
      <c r="K50" s="17">
        <v>180</v>
      </c>
      <c r="L50" s="31">
        <v>5</v>
      </c>
      <c r="M50" s="83" t="s">
        <v>49</v>
      </c>
      <c r="N50" s="158" t="s">
        <v>38</v>
      </c>
      <c r="O50" s="112">
        <v>59.924999999999997</v>
      </c>
      <c r="P50" s="112">
        <v>20.326891055938688</v>
      </c>
      <c r="Q50" s="1"/>
      <c r="R50" s="10"/>
      <c r="S50" s="5"/>
    </row>
    <row r="51" spans="1:19" ht="14.25" customHeight="1">
      <c r="A51" s="17" t="s">
        <v>94</v>
      </c>
      <c r="B51" s="17" t="s">
        <v>89</v>
      </c>
      <c r="C51" s="17" t="s">
        <v>103</v>
      </c>
      <c r="D51" s="109">
        <v>-48.441289384350434</v>
      </c>
      <c r="E51" s="109">
        <v>-22.888381500000008</v>
      </c>
      <c r="F51" s="17">
        <v>2016</v>
      </c>
      <c r="G51" s="19" t="s">
        <v>90</v>
      </c>
      <c r="H51" s="158" t="s">
        <v>188</v>
      </c>
      <c r="I51" s="17" t="s">
        <v>43</v>
      </c>
      <c r="J51" s="17" t="s">
        <v>21</v>
      </c>
      <c r="K51" s="17">
        <v>180</v>
      </c>
      <c r="L51" s="31">
        <v>5</v>
      </c>
      <c r="M51" s="83" t="s">
        <v>49</v>
      </c>
      <c r="N51" s="158" t="s">
        <v>38</v>
      </c>
      <c r="O51" s="112">
        <v>72.325000000000003</v>
      </c>
      <c r="P51" s="112">
        <v>6.6849956369968329</v>
      </c>
      <c r="Q51" s="1"/>
      <c r="R51" s="10"/>
      <c r="S51" s="5"/>
    </row>
    <row r="52" spans="1:19" ht="14.25" customHeight="1">
      <c r="A52" s="17" t="s">
        <v>94</v>
      </c>
      <c r="B52" s="17" t="s">
        <v>89</v>
      </c>
      <c r="C52" s="17" t="s">
        <v>104</v>
      </c>
      <c r="D52" s="109">
        <v>-47.06015627297316</v>
      </c>
      <c r="E52" s="109">
        <v>-22.907342500000002</v>
      </c>
      <c r="F52" s="17">
        <v>2016</v>
      </c>
      <c r="G52" s="19" t="s">
        <v>90</v>
      </c>
      <c r="H52" s="158" t="s">
        <v>188</v>
      </c>
      <c r="I52" s="17" t="s">
        <v>43</v>
      </c>
      <c r="J52" s="17" t="s">
        <v>21</v>
      </c>
      <c r="K52" s="17">
        <v>180</v>
      </c>
      <c r="L52" s="31">
        <v>5</v>
      </c>
      <c r="M52" s="83" t="s">
        <v>49</v>
      </c>
      <c r="N52" s="158" t="s">
        <v>38</v>
      </c>
      <c r="O52" s="112">
        <v>35.5</v>
      </c>
      <c r="P52" s="112">
        <v>15.347746848750578</v>
      </c>
      <c r="R52" s="10"/>
      <c r="S52" s="5"/>
    </row>
    <row r="53" spans="1:19" ht="14.25" customHeight="1">
      <c r="A53" s="17" t="s">
        <v>94</v>
      </c>
      <c r="B53" s="17" t="s">
        <v>89</v>
      </c>
      <c r="C53" s="158" t="s">
        <v>106</v>
      </c>
      <c r="D53" s="109">
        <v>-46.933372863488053</v>
      </c>
      <c r="E53" s="109">
        <v>-23.546934000000004</v>
      </c>
      <c r="F53" s="17">
        <v>2016</v>
      </c>
      <c r="G53" s="19" t="s">
        <v>90</v>
      </c>
      <c r="H53" s="158" t="s">
        <v>188</v>
      </c>
      <c r="I53" s="17" t="s">
        <v>43</v>
      </c>
      <c r="J53" s="17" t="s">
        <v>21</v>
      </c>
      <c r="K53" s="17">
        <v>225</v>
      </c>
      <c r="L53" s="31">
        <v>5</v>
      </c>
      <c r="M53" s="83" t="s">
        <v>49</v>
      </c>
      <c r="N53" s="158" t="s">
        <v>38</v>
      </c>
      <c r="O53" s="112">
        <v>31.040000000000003</v>
      </c>
      <c r="P53" s="112">
        <v>18.727599953010518</v>
      </c>
      <c r="R53" s="10"/>
      <c r="S53" s="5"/>
    </row>
    <row r="54" spans="1:19" ht="14.25" customHeight="1">
      <c r="A54" s="17" t="s">
        <v>94</v>
      </c>
      <c r="B54" s="17" t="s">
        <v>89</v>
      </c>
      <c r="C54" s="17" t="s">
        <v>25</v>
      </c>
      <c r="D54" s="109">
        <v>-49.951645643103269</v>
      </c>
      <c r="E54" s="109">
        <v>-22.214933000000002</v>
      </c>
      <c r="F54" s="17">
        <v>2016</v>
      </c>
      <c r="G54" s="19" t="s">
        <v>90</v>
      </c>
      <c r="H54" s="158" t="s">
        <v>188</v>
      </c>
      <c r="I54" s="17" t="s">
        <v>43</v>
      </c>
      <c r="J54" s="17" t="s">
        <v>21</v>
      </c>
      <c r="K54" s="17">
        <v>225</v>
      </c>
      <c r="L54" s="31">
        <v>5</v>
      </c>
      <c r="M54" s="83" t="s">
        <v>49</v>
      </c>
      <c r="N54" s="158" t="s">
        <v>38</v>
      </c>
      <c r="O54" s="112">
        <v>88.1</v>
      </c>
      <c r="P54" s="112">
        <v>4.8749358970144403</v>
      </c>
      <c r="R54" s="10"/>
      <c r="S54" s="5"/>
    </row>
    <row r="55" spans="1:19" ht="14.25" customHeight="1">
      <c r="A55" s="17" t="s">
        <v>94</v>
      </c>
      <c r="B55" s="17" t="s">
        <v>89</v>
      </c>
      <c r="C55" s="17" t="s">
        <v>108</v>
      </c>
      <c r="D55" s="109">
        <v>-51.386765581912492</v>
      </c>
      <c r="E55" s="109">
        <v>-22.122743500000002</v>
      </c>
      <c r="F55" s="17">
        <v>2016</v>
      </c>
      <c r="G55" s="19" t="s">
        <v>90</v>
      </c>
      <c r="H55" s="158" t="s">
        <v>188</v>
      </c>
      <c r="I55" s="17" t="s">
        <v>43</v>
      </c>
      <c r="J55" s="17" t="s">
        <v>21</v>
      </c>
      <c r="K55" s="17">
        <v>180</v>
      </c>
      <c r="L55" s="31">
        <v>5</v>
      </c>
      <c r="M55" s="83" t="s">
        <v>49</v>
      </c>
      <c r="N55" s="158" t="s">
        <v>38</v>
      </c>
      <c r="O55" s="112">
        <v>56.875</v>
      </c>
      <c r="P55" s="112">
        <v>10.682501267649533</v>
      </c>
      <c r="R55" s="10"/>
      <c r="S55" s="5"/>
    </row>
    <row r="56" spans="1:19" ht="14.25" customHeight="1">
      <c r="A56" s="17" t="s">
        <v>94</v>
      </c>
      <c r="B56" s="17" t="s">
        <v>89</v>
      </c>
      <c r="C56" s="158" t="s">
        <v>175</v>
      </c>
      <c r="D56" s="109">
        <v>-47.841054751674982</v>
      </c>
      <c r="E56" s="109">
        <v>-24.494251427999906</v>
      </c>
      <c r="F56" s="17">
        <v>2016</v>
      </c>
      <c r="G56" s="19" t="s">
        <v>90</v>
      </c>
      <c r="H56" s="158" t="s">
        <v>188</v>
      </c>
      <c r="I56" s="17" t="s">
        <v>43</v>
      </c>
      <c r="J56" s="17" t="s">
        <v>21</v>
      </c>
      <c r="K56" s="17">
        <v>225</v>
      </c>
      <c r="L56" s="31">
        <v>5</v>
      </c>
      <c r="M56" s="83" t="s">
        <v>49</v>
      </c>
      <c r="N56" s="158" t="s">
        <v>38</v>
      </c>
      <c r="O56" s="112">
        <v>27.919999999999998</v>
      </c>
      <c r="P56" s="112">
        <v>19.795883410446724</v>
      </c>
      <c r="R56" s="10"/>
      <c r="S56" s="5"/>
    </row>
    <row r="57" spans="1:19" ht="14.25" customHeight="1">
      <c r="A57" s="17" t="s">
        <v>94</v>
      </c>
      <c r="B57" s="17" t="s">
        <v>89</v>
      </c>
      <c r="C57" s="158" t="s">
        <v>109</v>
      </c>
      <c r="D57" s="109">
        <v>-47.805475915541528</v>
      </c>
      <c r="E57" s="109">
        <v>-21.184834500000004</v>
      </c>
      <c r="F57" s="17">
        <v>2016</v>
      </c>
      <c r="G57" s="19" t="s">
        <v>90</v>
      </c>
      <c r="H57" s="158" t="s">
        <v>188</v>
      </c>
      <c r="I57" s="17" t="s">
        <v>43</v>
      </c>
      <c r="J57" s="17" t="s">
        <v>21</v>
      </c>
      <c r="K57" s="17">
        <v>180</v>
      </c>
      <c r="L57" s="31">
        <v>5</v>
      </c>
      <c r="M57" s="83" t="s">
        <v>49</v>
      </c>
      <c r="N57" s="158" t="s">
        <v>38</v>
      </c>
      <c r="O57" s="112">
        <v>40.825000000000003</v>
      </c>
      <c r="P57" s="112">
        <v>17.472716827480873</v>
      </c>
      <c r="R57" s="10"/>
      <c r="S57" s="5"/>
    </row>
    <row r="58" spans="1:19" ht="14.25" customHeight="1">
      <c r="A58" s="17" t="s">
        <v>94</v>
      </c>
      <c r="B58" s="17" t="s">
        <v>89</v>
      </c>
      <c r="C58" s="17" t="s">
        <v>127</v>
      </c>
      <c r="D58" s="109">
        <v>-46.922092505649722</v>
      </c>
      <c r="E58" s="109">
        <v>-23.449453000000005</v>
      </c>
      <c r="F58" s="17">
        <v>2016</v>
      </c>
      <c r="G58" s="19" t="s">
        <v>90</v>
      </c>
      <c r="H58" s="158" t="s">
        <v>188</v>
      </c>
      <c r="I58" s="17" t="s">
        <v>43</v>
      </c>
      <c r="J58" s="17" t="s">
        <v>21</v>
      </c>
      <c r="K58" s="17">
        <v>180</v>
      </c>
      <c r="L58" s="31">
        <v>5</v>
      </c>
      <c r="M58" s="83" t="s">
        <v>49</v>
      </c>
      <c r="N58" s="158" t="s">
        <v>38</v>
      </c>
      <c r="O58" s="112">
        <v>53.5</v>
      </c>
      <c r="P58" s="112">
        <v>24.019297797118607</v>
      </c>
      <c r="R58" s="158"/>
      <c r="S58" s="5"/>
    </row>
    <row r="59" spans="1:19" ht="14.25" customHeight="1">
      <c r="A59" s="17" t="s">
        <v>94</v>
      </c>
      <c r="B59" s="17" t="s">
        <v>89</v>
      </c>
      <c r="C59" s="158" t="s">
        <v>110</v>
      </c>
      <c r="D59" s="109">
        <v>-46.331370849190684</v>
      </c>
      <c r="E59" s="109">
        <v>-23.933737500000003</v>
      </c>
      <c r="F59" s="17">
        <v>2016</v>
      </c>
      <c r="G59" s="19" t="s">
        <v>90</v>
      </c>
      <c r="H59" s="158" t="s">
        <v>188</v>
      </c>
      <c r="I59" s="17" t="s">
        <v>43</v>
      </c>
      <c r="J59" s="17" t="s">
        <v>21</v>
      </c>
      <c r="K59" s="17">
        <v>180</v>
      </c>
      <c r="L59" s="31">
        <v>5</v>
      </c>
      <c r="M59" s="83" t="s">
        <v>49</v>
      </c>
      <c r="N59" s="158" t="s">
        <v>38</v>
      </c>
      <c r="O59" s="112">
        <v>37.674999999999997</v>
      </c>
      <c r="P59" s="112">
        <v>9.8594709121061275</v>
      </c>
      <c r="R59" s="10"/>
      <c r="S59" s="5"/>
    </row>
    <row r="60" spans="1:19" ht="14.25" customHeight="1">
      <c r="A60" s="17" t="s">
        <v>94</v>
      </c>
      <c r="B60" s="17" t="s">
        <v>89</v>
      </c>
      <c r="C60" s="67" t="s">
        <v>131</v>
      </c>
      <c r="D60" s="109">
        <v>-49.381347685025794</v>
      </c>
      <c r="E60" s="109">
        <v>-20.812636500000004</v>
      </c>
      <c r="F60" s="17">
        <v>2016</v>
      </c>
      <c r="G60" s="19" t="s">
        <v>90</v>
      </c>
      <c r="H60" s="158" t="s">
        <v>188</v>
      </c>
      <c r="I60" s="17" t="s">
        <v>43</v>
      </c>
      <c r="J60" s="17" t="s">
        <v>21</v>
      </c>
      <c r="K60" s="17">
        <v>90</v>
      </c>
      <c r="L60" s="31">
        <v>5</v>
      </c>
      <c r="M60" s="83" t="s">
        <v>49</v>
      </c>
      <c r="N60" s="158" t="s">
        <v>38</v>
      </c>
      <c r="O60" s="112">
        <v>65.099999999999994</v>
      </c>
      <c r="P60" s="112">
        <v>4.1012193308819738</v>
      </c>
      <c r="R60" s="10"/>
      <c r="S60" s="5"/>
    </row>
    <row r="61" spans="1:19" ht="14.25" customHeight="1">
      <c r="A61" s="17" t="s">
        <v>94</v>
      </c>
      <c r="B61" s="17" t="s">
        <v>89</v>
      </c>
      <c r="C61" s="158" t="s">
        <v>46</v>
      </c>
      <c r="D61" s="109">
        <v>-45.884175401459665</v>
      </c>
      <c r="E61" s="109">
        <v>-23.184061500000002</v>
      </c>
      <c r="F61" s="17">
        <v>2016</v>
      </c>
      <c r="G61" s="19" t="s">
        <v>90</v>
      </c>
      <c r="H61" s="158" t="s">
        <v>188</v>
      </c>
      <c r="I61" s="17" t="s">
        <v>43</v>
      </c>
      <c r="J61" s="17" t="s">
        <v>21</v>
      </c>
      <c r="K61" s="17">
        <v>180</v>
      </c>
      <c r="L61" s="31">
        <v>5</v>
      </c>
      <c r="M61" s="83" t="s">
        <v>49</v>
      </c>
      <c r="N61" s="158" t="s">
        <v>38</v>
      </c>
      <c r="O61" s="112">
        <v>12.675000000000001</v>
      </c>
      <c r="P61" s="113">
        <v>9.5153822834397968</v>
      </c>
      <c r="Q61" s="1"/>
      <c r="R61" s="10"/>
      <c r="S61" s="5"/>
    </row>
    <row r="62" spans="1:19" ht="14.25" customHeight="1" thickBot="1">
      <c r="A62" s="21" t="s">
        <v>94</v>
      </c>
      <c r="B62" s="21" t="s">
        <v>89</v>
      </c>
      <c r="C62" s="11" t="s">
        <v>113</v>
      </c>
      <c r="D62" s="110">
        <v>-45.402680140543957</v>
      </c>
      <c r="E62" s="110">
        <v>-23.806687652148753</v>
      </c>
      <c r="F62" s="21">
        <v>2016</v>
      </c>
      <c r="G62" s="22" t="s">
        <v>90</v>
      </c>
      <c r="H62" s="11" t="s">
        <v>188</v>
      </c>
      <c r="I62" s="21" t="s">
        <v>43</v>
      </c>
      <c r="J62" s="21" t="s">
        <v>21</v>
      </c>
      <c r="K62" s="21">
        <v>135</v>
      </c>
      <c r="L62" s="30">
        <v>5</v>
      </c>
      <c r="M62" s="98" t="s">
        <v>49</v>
      </c>
      <c r="N62" s="11" t="s">
        <v>38</v>
      </c>
      <c r="O62" s="115">
        <v>16.566666666666666</v>
      </c>
      <c r="P62" s="115">
        <v>1.7156145643277019</v>
      </c>
      <c r="Q62" s="49"/>
      <c r="R62" s="10"/>
      <c r="S62" s="5"/>
    </row>
  </sheetData>
  <sheetCalcPr fullCalcOnLoad="1"/>
  <phoneticPr fontId="48" type="noConversion"/>
  <conditionalFormatting sqref="R50 R48:S49">
    <cfRule type="cellIs" dxfId="19" priority="18" stopIfTrue="1" operator="between">
      <formula>0</formula>
      <formula>79.9</formula>
    </cfRule>
    <cfRule type="cellIs" dxfId="18" priority="19" stopIfTrue="1" operator="between">
      <formula>80</formula>
      <formula>97.9</formula>
    </cfRule>
    <cfRule type="cellIs" dxfId="17" priority="20" stopIfTrue="1" operator="between">
      <formula>98</formula>
      <formula>100</formula>
    </cfRule>
  </conditionalFormatting>
  <conditionalFormatting sqref="R51:R62">
    <cfRule type="cellIs" dxfId="16" priority="1" stopIfTrue="1" operator="lessThan">
      <formula>90</formula>
    </cfRule>
    <cfRule type="cellIs" dxfId="15" priority="2" stopIfTrue="1" operator="between">
      <formula>90</formula>
      <formula>97</formula>
    </cfRule>
  </conditionalFormatting>
  <conditionalFormatting sqref="R48:R50">
    <cfRule type="cellIs" dxfId="14" priority="16" stopIfTrue="1" operator="between">
      <formula>98</formula>
      <formula>100</formula>
    </cfRule>
    <cfRule type="cellIs" dxfId="13" priority="17" stopIfTrue="1" operator="between">
      <formula>98</formula>
      <formula>100</formula>
    </cfRule>
  </conditionalFormatting>
  <conditionalFormatting sqref="R48:R50">
    <cfRule type="cellIs" dxfId="12" priority="14" stopIfTrue="1" operator="lessThan">
      <formula>90</formula>
    </cfRule>
    <cfRule type="cellIs" dxfId="11" priority="15" stopIfTrue="1" operator="between">
      <formula>90</formula>
      <formula>97</formula>
    </cfRule>
  </conditionalFormatting>
  <conditionalFormatting sqref="R54:R57 R51:R52">
    <cfRule type="cellIs" dxfId="10" priority="5" stopIfTrue="1" operator="lessThanOrEqual">
      <formula>89.9</formula>
    </cfRule>
    <cfRule type="cellIs" dxfId="9" priority="6" stopIfTrue="1" operator="between">
      <formula>90</formula>
      <formula>97</formula>
    </cfRule>
    <cfRule type="cellIs" dxfId="8" priority="7" stopIfTrue="1" operator="greaterThanOrEqual">
      <formula>98</formula>
    </cfRule>
  </conditionalFormatting>
  <conditionalFormatting sqref="R51:R62">
    <cfRule type="cellIs" dxfId="7" priority="3" stopIfTrue="1" operator="between">
      <formula>98</formula>
      <formula>100</formula>
    </cfRule>
    <cfRule type="cellIs" dxfId="6" priority="4" stopIfTrue="1" operator="between">
      <formula>98</formula>
      <formula>100</formula>
    </cfRule>
  </conditionalFormatting>
  <conditionalFormatting sqref="R53">
    <cfRule type="cellIs" dxfId="5" priority="8" stopIfTrue="1" operator="between">
      <formula>98</formula>
      <formula>100</formula>
    </cfRule>
    <cfRule type="cellIs" dxfId="4" priority="9" stopIfTrue="1" operator="between">
      <formula>80</formula>
      <formula>97.9</formula>
    </cfRule>
    <cfRule type="cellIs" dxfId="3" priority="10" stopIfTrue="1" operator="between">
      <formula>0</formula>
      <formula>79.9</formula>
    </cfRule>
  </conditionalFormatting>
  <conditionalFormatting sqref="S50 R51:S62">
    <cfRule type="cellIs" dxfId="2" priority="11" stopIfTrue="1" operator="between">
      <formula>0</formula>
      <formula>79.9</formula>
    </cfRule>
    <cfRule type="cellIs" dxfId="1" priority="12" stopIfTrue="1" operator="between">
      <formula>80</formula>
      <formula>97.9</formula>
    </cfRule>
    <cfRule type="cellIs" dxfId="0" priority="13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V39"/>
  <sheetViews>
    <sheetView workbookViewId="0">
      <selection activeCell="D10" sqref="D10:E10"/>
    </sheetView>
  </sheetViews>
  <sheetFormatPr baseColWidth="10" defaultColWidth="8.83203125" defaultRowHeight="14.25" customHeight="1"/>
  <cols>
    <col min="1" max="1" width="17.83203125" style="158" bestFit="1" customWidth="1"/>
    <col min="2" max="2" width="7" style="158" bestFit="1" customWidth="1"/>
    <col min="3" max="3" width="17.5" style="158" bestFit="1" customWidth="1"/>
    <col min="4" max="4" width="13.1640625" style="158" bestFit="1" customWidth="1"/>
    <col min="5" max="5" width="14.6640625" style="158" bestFit="1" customWidth="1"/>
    <col min="6" max="6" width="12.6640625" style="158" customWidth="1"/>
    <col min="7" max="7" width="12.6640625" style="158" bestFit="1" customWidth="1"/>
    <col min="8" max="8" width="15.5" style="158" bestFit="1" customWidth="1"/>
    <col min="9" max="9" width="17.5" style="158" bestFit="1" customWidth="1"/>
    <col min="10" max="10" width="9.6640625" style="158" bestFit="1" customWidth="1"/>
    <col min="11" max="11" width="13.5" style="158" bestFit="1" customWidth="1"/>
    <col min="12" max="12" width="12" style="158" bestFit="1" customWidth="1"/>
    <col min="13" max="13" width="5.1640625" style="158" bestFit="1" customWidth="1"/>
    <col min="14" max="14" width="7.6640625" style="158" bestFit="1" customWidth="1"/>
    <col min="15" max="15" width="14.1640625" style="158" bestFit="1" customWidth="1"/>
    <col min="16" max="16" width="14.5" style="158" bestFit="1" customWidth="1"/>
    <col min="17" max="17" width="7.1640625" style="158" customWidth="1"/>
    <col min="18" max="18" width="6.5" style="158" bestFit="1" customWidth="1"/>
    <col min="19" max="19" width="8.83203125" style="158"/>
    <col min="20" max="16384" width="8.83203125" style="15"/>
  </cols>
  <sheetData>
    <row r="1" spans="1:22" ht="14.25" customHeight="1" thickBot="1">
      <c r="A1" s="11" t="s">
        <v>69</v>
      </c>
      <c r="B1" s="11" t="s">
        <v>70</v>
      </c>
      <c r="C1" s="11" t="s">
        <v>71</v>
      </c>
      <c r="D1" s="90" t="s">
        <v>190</v>
      </c>
      <c r="E1" s="90" t="s">
        <v>24</v>
      </c>
      <c r="F1" s="11" t="s">
        <v>72</v>
      </c>
      <c r="G1" s="11" t="s">
        <v>73</v>
      </c>
      <c r="H1" s="11" t="s">
        <v>74</v>
      </c>
      <c r="I1" s="11" t="s">
        <v>75</v>
      </c>
      <c r="J1" s="11" t="s">
        <v>76</v>
      </c>
      <c r="K1" s="1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22" ht="14.25" customHeight="1">
      <c r="A2" s="137" t="s">
        <v>10</v>
      </c>
      <c r="B2" s="158" t="s">
        <v>89</v>
      </c>
      <c r="C2" s="158" t="s">
        <v>100</v>
      </c>
      <c r="D2" s="155">
        <v>-50.439226072752582</v>
      </c>
      <c r="E2" s="155">
        <v>-21.205476000000004</v>
      </c>
      <c r="F2" s="158">
        <v>1998</v>
      </c>
      <c r="G2" s="83" t="s">
        <v>90</v>
      </c>
      <c r="H2" s="27" t="s">
        <v>177</v>
      </c>
      <c r="I2" s="158" t="s">
        <v>91</v>
      </c>
      <c r="J2" s="158" t="s">
        <v>81</v>
      </c>
      <c r="K2" s="158">
        <v>800</v>
      </c>
      <c r="L2" s="158">
        <v>1.2E-2</v>
      </c>
      <c r="M2" s="158" t="s">
        <v>80</v>
      </c>
      <c r="N2" s="158" t="s">
        <v>88</v>
      </c>
      <c r="O2" s="158">
        <v>100</v>
      </c>
      <c r="P2" s="130"/>
      <c r="Q2" s="131">
        <v>3.8999999999999998E-3</v>
      </c>
      <c r="R2" s="3"/>
      <c r="S2" s="131">
        <v>5.8999999999999999E-3</v>
      </c>
    </row>
    <row r="3" spans="1:22" ht="14.25" customHeight="1">
      <c r="A3" s="137" t="s">
        <v>10</v>
      </c>
      <c r="B3" s="158" t="s">
        <v>89</v>
      </c>
      <c r="C3" s="158" t="s">
        <v>102</v>
      </c>
      <c r="D3" s="155">
        <v>-49.083000867090362</v>
      </c>
      <c r="E3" s="155">
        <v>-22.325122500000006</v>
      </c>
      <c r="F3" s="158">
        <v>1998</v>
      </c>
      <c r="G3" s="83" t="s">
        <v>90</v>
      </c>
      <c r="H3" s="27" t="s">
        <v>177</v>
      </c>
      <c r="I3" s="158" t="s">
        <v>91</v>
      </c>
      <c r="J3" s="158" t="s">
        <v>81</v>
      </c>
      <c r="K3" s="158">
        <v>800</v>
      </c>
      <c r="L3" s="158">
        <v>1.2E-2</v>
      </c>
      <c r="M3" s="158" t="s">
        <v>80</v>
      </c>
      <c r="N3" s="158" t="s">
        <v>88</v>
      </c>
      <c r="O3" s="158">
        <v>100</v>
      </c>
      <c r="P3" s="132"/>
      <c r="Q3" s="131">
        <v>2.8999999999999998E-3</v>
      </c>
      <c r="R3" s="3"/>
      <c r="S3" s="131">
        <v>4.5999999999999999E-3</v>
      </c>
    </row>
    <row r="4" spans="1:22" ht="14.25" customHeight="1">
      <c r="A4" s="158" t="s">
        <v>94</v>
      </c>
      <c r="B4" s="158" t="s">
        <v>89</v>
      </c>
      <c r="C4" s="158" t="s">
        <v>101</v>
      </c>
      <c r="D4" s="155">
        <v>-48.567377839455055</v>
      </c>
      <c r="E4" s="155">
        <v>-20.558455515000002</v>
      </c>
      <c r="F4" s="158">
        <v>1998</v>
      </c>
      <c r="G4" s="83" t="s">
        <v>90</v>
      </c>
      <c r="H4" s="27" t="s">
        <v>177</v>
      </c>
      <c r="I4" s="158" t="s">
        <v>91</v>
      </c>
      <c r="J4" s="158" t="s">
        <v>81</v>
      </c>
      <c r="K4" s="158">
        <v>800</v>
      </c>
      <c r="L4" s="158">
        <v>1.2E-2</v>
      </c>
      <c r="M4" s="158" t="s">
        <v>80</v>
      </c>
      <c r="N4" s="158" t="s">
        <v>88</v>
      </c>
      <c r="P4" s="130"/>
      <c r="Q4" s="131">
        <v>4.5999999999999999E-3</v>
      </c>
      <c r="R4" s="3"/>
      <c r="S4" s="131">
        <v>8.8999999999999999E-3</v>
      </c>
    </row>
    <row r="5" spans="1:22" ht="14.25" customHeight="1">
      <c r="A5" s="137" t="s">
        <v>10</v>
      </c>
      <c r="B5" s="158" t="s">
        <v>89</v>
      </c>
      <c r="C5" s="158" t="s">
        <v>104</v>
      </c>
      <c r="D5" s="109">
        <v>-47.06015627297316</v>
      </c>
      <c r="E5" s="109">
        <v>-22.907342500000002</v>
      </c>
      <c r="F5" s="158">
        <v>1998</v>
      </c>
      <c r="G5" s="83" t="s">
        <v>90</v>
      </c>
      <c r="H5" s="27" t="s">
        <v>177</v>
      </c>
      <c r="I5" s="158" t="s">
        <v>91</v>
      </c>
      <c r="J5" s="158" t="s">
        <v>81</v>
      </c>
      <c r="K5" s="158">
        <v>800</v>
      </c>
      <c r="L5" s="158">
        <v>1.2E-2</v>
      </c>
      <c r="M5" s="158" t="s">
        <v>80</v>
      </c>
      <c r="N5" s="158" t="s">
        <v>88</v>
      </c>
      <c r="O5" s="158">
        <v>96.6</v>
      </c>
      <c r="P5" s="132"/>
      <c r="Q5" s="131">
        <v>5.1999999999999998E-3</v>
      </c>
      <c r="R5" s="3"/>
      <c r="S5" s="131">
        <v>9.5999999999999992E-3</v>
      </c>
    </row>
    <row r="6" spans="1:22" ht="14.25" customHeight="1">
      <c r="A6" s="137" t="s">
        <v>10</v>
      </c>
      <c r="B6" s="158" t="s">
        <v>89</v>
      </c>
      <c r="C6" s="158" t="s">
        <v>107</v>
      </c>
      <c r="D6" s="109">
        <v>-49.951645643103269</v>
      </c>
      <c r="E6" s="109">
        <v>-22.122743500000002</v>
      </c>
      <c r="F6" s="158">
        <v>1998</v>
      </c>
      <c r="G6" s="83" t="s">
        <v>90</v>
      </c>
      <c r="H6" s="27" t="s">
        <v>177</v>
      </c>
      <c r="I6" s="158" t="s">
        <v>91</v>
      </c>
      <c r="J6" s="158" t="s">
        <v>81</v>
      </c>
      <c r="K6" s="158">
        <v>800</v>
      </c>
      <c r="L6" s="158">
        <v>1.2E-2</v>
      </c>
      <c r="M6" s="158" t="s">
        <v>80</v>
      </c>
      <c r="N6" s="158" t="s">
        <v>88</v>
      </c>
      <c r="O6" s="158">
        <v>100</v>
      </c>
      <c r="P6" s="132"/>
      <c r="Q6" s="131">
        <v>3.0999999999999999E-3</v>
      </c>
      <c r="R6" s="3"/>
      <c r="S6" s="131">
        <v>5.7000000000000002E-3</v>
      </c>
    </row>
    <row r="7" spans="1:22" ht="14.25" customHeight="1">
      <c r="A7" s="137" t="s">
        <v>10</v>
      </c>
      <c r="B7" s="158" t="s">
        <v>89</v>
      </c>
      <c r="C7" s="158" t="s">
        <v>108</v>
      </c>
      <c r="D7" s="109">
        <v>-51.386765581912492</v>
      </c>
      <c r="E7" s="109">
        <v>-24.494251427999906</v>
      </c>
      <c r="F7" s="158">
        <v>1998</v>
      </c>
      <c r="G7" s="83" t="s">
        <v>90</v>
      </c>
      <c r="H7" s="27" t="s">
        <v>177</v>
      </c>
      <c r="I7" s="158" t="s">
        <v>91</v>
      </c>
      <c r="J7" s="158" t="s">
        <v>81</v>
      </c>
      <c r="K7" s="158">
        <v>800</v>
      </c>
      <c r="L7" s="158">
        <v>1.2E-2</v>
      </c>
      <c r="M7" s="158" t="s">
        <v>80</v>
      </c>
      <c r="N7" s="158" t="s">
        <v>88</v>
      </c>
      <c r="Q7" s="131">
        <v>3.2000000000000002E-3</v>
      </c>
      <c r="R7" s="3"/>
      <c r="S7" s="131">
        <v>5.7999999999999996E-3</v>
      </c>
    </row>
    <row r="8" spans="1:22" ht="14.25" customHeight="1">
      <c r="A8" s="137" t="s">
        <v>10</v>
      </c>
      <c r="B8" s="158" t="s">
        <v>89</v>
      </c>
      <c r="C8" s="158" t="s">
        <v>112</v>
      </c>
      <c r="D8" s="109">
        <v>-49.381347685025794</v>
      </c>
      <c r="E8" s="109">
        <v>-20.812636500000004</v>
      </c>
      <c r="F8" s="158">
        <v>1998</v>
      </c>
      <c r="G8" s="83" t="s">
        <v>90</v>
      </c>
      <c r="H8" s="27" t="s">
        <v>177</v>
      </c>
      <c r="I8" s="158" t="s">
        <v>91</v>
      </c>
      <c r="J8" s="158" t="s">
        <v>81</v>
      </c>
      <c r="K8" s="158">
        <v>800</v>
      </c>
      <c r="L8" s="158">
        <v>1.2E-2</v>
      </c>
      <c r="M8" s="158" t="s">
        <v>80</v>
      </c>
      <c r="N8" s="158" t="s">
        <v>88</v>
      </c>
      <c r="Q8" s="131">
        <v>4.7999999999999996E-3</v>
      </c>
      <c r="R8" s="3"/>
      <c r="S8" s="131">
        <v>8.9999999999999993E-3</v>
      </c>
      <c r="V8" s="133"/>
    </row>
    <row r="9" spans="1:22" ht="14.25" customHeight="1" thickBot="1">
      <c r="A9" s="137" t="s">
        <v>10</v>
      </c>
      <c r="B9" s="158" t="s">
        <v>89</v>
      </c>
      <c r="C9" s="158" t="s">
        <v>110</v>
      </c>
      <c r="D9" s="109">
        <v>-46.331370849190684</v>
      </c>
      <c r="E9" s="109">
        <v>-23.933737500000003</v>
      </c>
      <c r="F9" s="158">
        <v>1998</v>
      </c>
      <c r="G9" s="83" t="s">
        <v>90</v>
      </c>
      <c r="H9" s="27" t="s">
        <v>177</v>
      </c>
      <c r="I9" s="158" t="s">
        <v>91</v>
      </c>
      <c r="J9" s="158" t="s">
        <v>81</v>
      </c>
      <c r="K9" s="158">
        <v>800</v>
      </c>
      <c r="L9" s="158">
        <v>1.2E-2</v>
      </c>
      <c r="M9" s="158" t="s">
        <v>80</v>
      </c>
      <c r="N9" s="158" t="s">
        <v>88</v>
      </c>
      <c r="Q9" s="131">
        <v>1.2E-2</v>
      </c>
      <c r="R9" s="3"/>
      <c r="S9" s="131">
        <v>1.7999999999999999E-2</v>
      </c>
      <c r="V9" s="133"/>
    </row>
    <row r="10" spans="1:22" ht="14.25" customHeight="1">
      <c r="A10" s="158" t="s">
        <v>94</v>
      </c>
      <c r="B10" s="158" t="s">
        <v>89</v>
      </c>
      <c r="C10" s="157" t="s">
        <v>124</v>
      </c>
      <c r="D10" s="261"/>
      <c r="E10" s="262"/>
      <c r="F10" s="158">
        <v>1998</v>
      </c>
      <c r="G10" s="83" t="s">
        <v>90</v>
      </c>
      <c r="H10" s="27" t="s">
        <v>187</v>
      </c>
      <c r="I10" s="158" t="s">
        <v>91</v>
      </c>
      <c r="J10" s="158" t="s">
        <v>81</v>
      </c>
      <c r="K10" s="158">
        <v>640</v>
      </c>
      <c r="L10" s="158">
        <v>1.2E-2</v>
      </c>
      <c r="M10" s="158" t="s">
        <v>80</v>
      </c>
      <c r="N10" s="158" t="s">
        <v>88</v>
      </c>
      <c r="O10" s="158">
        <v>100</v>
      </c>
      <c r="Q10" s="131">
        <v>1.9E-3</v>
      </c>
      <c r="R10" s="3"/>
      <c r="S10" s="131">
        <v>3.3E-3</v>
      </c>
    </row>
    <row r="11" spans="1:22" ht="14.25" customHeight="1">
      <c r="A11" s="158" t="s">
        <v>94</v>
      </c>
      <c r="B11" s="158" t="s">
        <v>89</v>
      </c>
      <c r="C11" s="158" t="s">
        <v>100</v>
      </c>
      <c r="D11" s="155">
        <v>-50.439226072752582</v>
      </c>
      <c r="E11" s="155">
        <v>-21.205476000000004</v>
      </c>
      <c r="F11" s="158">
        <v>1999</v>
      </c>
      <c r="G11" s="83" t="s">
        <v>90</v>
      </c>
      <c r="H11" s="27" t="s">
        <v>177</v>
      </c>
      <c r="I11" s="158" t="s">
        <v>91</v>
      </c>
      <c r="J11" s="158" t="s">
        <v>81</v>
      </c>
      <c r="K11" s="158">
        <v>800</v>
      </c>
      <c r="L11" s="158">
        <v>1.2E-2</v>
      </c>
      <c r="M11" s="158" t="s">
        <v>80</v>
      </c>
      <c r="N11" s="158" t="s">
        <v>88</v>
      </c>
      <c r="O11" s="111">
        <v>92.4</v>
      </c>
      <c r="Q11" s="3"/>
      <c r="R11" s="3"/>
      <c r="S11" s="3"/>
    </row>
    <row r="12" spans="1:22" ht="14.25" customHeight="1">
      <c r="A12" s="158" t="s">
        <v>94</v>
      </c>
      <c r="B12" s="158" t="s">
        <v>89</v>
      </c>
      <c r="C12" s="158" t="s">
        <v>102</v>
      </c>
      <c r="D12" s="155">
        <v>-49.083000867090362</v>
      </c>
      <c r="E12" s="155">
        <v>-22.325122500000006</v>
      </c>
      <c r="F12" s="158">
        <v>1999</v>
      </c>
      <c r="G12" s="83" t="s">
        <v>90</v>
      </c>
      <c r="H12" s="27" t="s">
        <v>177</v>
      </c>
      <c r="I12" s="158" t="s">
        <v>91</v>
      </c>
      <c r="J12" s="158" t="s">
        <v>81</v>
      </c>
      <c r="K12" s="158">
        <v>800</v>
      </c>
      <c r="L12" s="158">
        <v>1.2E-2</v>
      </c>
      <c r="M12" s="158" t="s">
        <v>80</v>
      </c>
      <c r="N12" s="158" t="s">
        <v>88</v>
      </c>
      <c r="O12" s="111">
        <v>100</v>
      </c>
      <c r="Q12" s="131">
        <v>4.0000000000000001E-3</v>
      </c>
      <c r="R12" s="3"/>
      <c r="S12" s="131">
        <v>0.01</v>
      </c>
    </row>
    <row r="13" spans="1:22" ht="14.25" customHeight="1">
      <c r="A13" s="158" t="s">
        <v>94</v>
      </c>
      <c r="B13" s="158" t="s">
        <v>89</v>
      </c>
      <c r="C13" s="158" t="s">
        <v>101</v>
      </c>
      <c r="D13" s="155">
        <v>-48.567377839455055</v>
      </c>
      <c r="E13" s="155">
        <v>-20.558455515000002</v>
      </c>
      <c r="F13" s="158">
        <v>1999</v>
      </c>
      <c r="G13" s="83" t="s">
        <v>90</v>
      </c>
      <c r="H13" s="27" t="s">
        <v>177</v>
      </c>
      <c r="I13" s="158" t="s">
        <v>91</v>
      </c>
      <c r="J13" s="158" t="s">
        <v>81</v>
      </c>
      <c r="K13" s="158">
        <v>800</v>
      </c>
      <c r="L13" s="158">
        <v>1.2E-2</v>
      </c>
      <c r="M13" s="158" t="s">
        <v>80</v>
      </c>
      <c r="N13" s="158" t="s">
        <v>88</v>
      </c>
      <c r="O13" s="111">
        <v>90.6</v>
      </c>
      <c r="Q13" s="131">
        <v>6.7999999999999996E-3</v>
      </c>
      <c r="R13" s="3"/>
      <c r="S13" s="131">
        <v>1.4999999999999999E-2</v>
      </c>
    </row>
    <row r="14" spans="1:22" ht="14.25" customHeight="1">
      <c r="A14" s="158" t="s">
        <v>94</v>
      </c>
      <c r="B14" s="158" t="s">
        <v>89</v>
      </c>
      <c r="C14" s="158" t="s">
        <v>104</v>
      </c>
      <c r="D14" s="109">
        <v>-47.06015627297316</v>
      </c>
      <c r="E14" s="109">
        <v>-22.907342500000002</v>
      </c>
      <c r="F14" s="158">
        <v>1999</v>
      </c>
      <c r="G14" s="83" t="s">
        <v>90</v>
      </c>
      <c r="H14" s="27" t="s">
        <v>177</v>
      </c>
      <c r="I14" s="158" t="s">
        <v>91</v>
      </c>
      <c r="J14" s="158" t="s">
        <v>81</v>
      </c>
      <c r="K14" s="158">
        <v>800</v>
      </c>
      <c r="L14" s="158">
        <v>1.2E-2</v>
      </c>
      <c r="M14" s="158" t="s">
        <v>80</v>
      </c>
      <c r="N14" s="158" t="s">
        <v>88</v>
      </c>
      <c r="O14" s="111">
        <v>99.5</v>
      </c>
      <c r="Q14" s="131">
        <v>7.0000000000000001E-3</v>
      </c>
      <c r="R14" s="3"/>
      <c r="S14" s="131">
        <v>1.4999999999999999E-2</v>
      </c>
    </row>
    <row r="15" spans="1:22" ht="14.25" customHeight="1">
      <c r="A15" s="158" t="s">
        <v>94</v>
      </c>
      <c r="B15" s="158" t="s">
        <v>89</v>
      </c>
      <c r="C15" s="158" t="s">
        <v>107</v>
      </c>
      <c r="D15" s="109">
        <v>-49.951645643103269</v>
      </c>
      <c r="E15" s="109">
        <v>-22.122743500000002</v>
      </c>
      <c r="F15" s="158">
        <v>1999</v>
      </c>
      <c r="G15" s="83" t="s">
        <v>90</v>
      </c>
      <c r="H15" s="27" t="s">
        <v>177</v>
      </c>
      <c r="I15" s="158" t="s">
        <v>91</v>
      </c>
      <c r="J15" s="158" t="s">
        <v>81</v>
      </c>
      <c r="K15" s="158">
        <v>800</v>
      </c>
      <c r="L15" s="158">
        <v>1.2E-2</v>
      </c>
      <c r="M15" s="158" t="s">
        <v>80</v>
      </c>
      <c r="N15" s="158" t="s">
        <v>88</v>
      </c>
      <c r="O15" s="111">
        <v>100</v>
      </c>
      <c r="Q15" s="3"/>
      <c r="R15" s="3"/>
      <c r="S15" s="3"/>
      <c r="V15" s="134"/>
    </row>
    <row r="16" spans="1:22" ht="14.25" customHeight="1">
      <c r="A16" s="158" t="s">
        <v>94</v>
      </c>
      <c r="B16" s="158" t="s">
        <v>89</v>
      </c>
      <c r="C16" s="158" t="s">
        <v>108</v>
      </c>
      <c r="D16" s="109">
        <v>-51.386765581912492</v>
      </c>
      <c r="E16" s="109">
        <v>-24.494251427999906</v>
      </c>
      <c r="F16" s="158">
        <v>1999</v>
      </c>
      <c r="G16" s="83" t="s">
        <v>90</v>
      </c>
      <c r="H16" s="27" t="s">
        <v>177</v>
      </c>
      <c r="I16" s="158" t="s">
        <v>91</v>
      </c>
      <c r="J16" s="158" t="s">
        <v>81</v>
      </c>
      <c r="K16" s="158">
        <v>800</v>
      </c>
      <c r="L16" s="158">
        <v>1.2E-2</v>
      </c>
      <c r="M16" s="158" t="s">
        <v>80</v>
      </c>
      <c r="N16" s="158" t="s">
        <v>88</v>
      </c>
      <c r="O16" s="111">
        <v>100</v>
      </c>
      <c r="Q16" s="131">
        <v>4.3E-3</v>
      </c>
      <c r="R16" s="3"/>
      <c r="S16" s="131">
        <v>6.4999999999999997E-3</v>
      </c>
      <c r="V16" s="135"/>
    </row>
    <row r="17" spans="1:22" ht="14.25" customHeight="1">
      <c r="A17" s="158" t="s">
        <v>94</v>
      </c>
      <c r="B17" s="158" t="s">
        <v>89</v>
      </c>
      <c r="C17" s="158" t="s">
        <v>109</v>
      </c>
      <c r="D17" s="109">
        <v>-47.805475915541528</v>
      </c>
      <c r="E17" s="109">
        <v>-21.184834500000004</v>
      </c>
      <c r="F17" s="158">
        <v>1999</v>
      </c>
      <c r="G17" s="83" t="s">
        <v>90</v>
      </c>
      <c r="H17" s="27" t="s">
        <v>177</v>
      </c>
      <c r="I17" s="158" t="s">
        <v>91</v>
      </c>
      <c r="J17" s="158" t="s">
        <v>81</v>
      </c>
      <c r="K17" s="158">
        <v>800</v>
      </c>
      <c r="L17" s="158">
        <v>1.2E-2</v>
      </c>
      <c r="M17" s="158" t="s">
        <v>80</v>
      </c>
      <c r="N17" s="158" t="s">
        <v>88</v>
      </c>
      <c r="O17" s="111">
        <v>75.900000000000006</v>
      </c>
      <c r="Q17" s="3"/>
      <c r="R17" s="3"/>
      <c r="S17" s="3"/>
      <c r="V17" s="135"/>
    </row>
    <row r="18" spans="1:22" ht="14.25" customHeight="1">
      <c r="A18" s="158" t="s">
        <v>94</v>
      </c>
      <c r="B18" s="158" t="s">
        <v>89</v>
      </c>
      <c r="C18" s="158" t="s">
        <v>112</v>
      </c>
      <c r="D18" s="109">
        <v>-49.381347685025794</v>
      </c>
      <c r="E18" s="109">
        <v>-20.812636500000004</v>
      </c>
      <c r="F18" s="158">
        <v>1999</v>
      </c>
      <c r="G18" s="83" t="s">
        <v>90</v>
      </c>
      <c r="H18" s="27" t="s">
        <v>177</v>
      </c>
      <c r="I18" s="158" t="s">
        <v>91</v>
      </c>
      <c r="J18" s="158" t="s">
        <v>81</v>
      </c>
      <c r="K18" s="158">
        <v>800</v>
      </c>
      <c r="L18" s="158">
        <v>1.2E-2</v>
      </c>
      <c r="M18" s="158" t="s">
        <v>80</v>
      </c>
      <c r="N18" s="158" t="s">
        <v>88</v>
      </c>
      <c r="O18" s="111">
        <v>56.5</v>
      </c>
      <c r="Q18" s="131">
        <v>8.0000000000000002E-3</v>
      </c>
      <c r="R18" s="3"/>
      <c r="S18" s="131">
        <v>2.4E-2</v>
      </c>
      <c r="V18" s="134"/>
    </row>
    <row r="19" spans="1:22" ht="14.25" customHeight="1" thickBot="1">
      <c r="A19" s="11" t="s">
        <v>94</v>
      </c>
      <c r="B19" s="11" t="s">
        <v>89</v>
      </c>
      <c r="C19" s="11" t="s">
        <v>110</v>
      </c>
      <c r="D19" s="110">
        <v>-46.331370849190684</v>
      </c>
      <c r="E19" s="110">
        <v>-23.933737500000003</v>
      </c>
      <c r="F19" s="11">
        <v>1999</v>
      </c>
      <c r="G19" s="98" t="s">
        <v>90</v>
      </c>
      <c r="H19" s="11" t="s">
        <v>187</v>
      </c>
      <c r="I19" s="11" t="s">
        <v>91</v>
      </c>
      <c r="J19" s="11" t="s">
        <v>81</v>
      </c>
      <c r="K19" s="11">
        <v>640</v>
      </c>
      <c r="L19" s="11">
        <v>1.2E-2</v>
      </c>
      <c r="M19" s="11" t="s">
        <v>80</v>
      </c>
      <c r="N19" s="11" t="s">
        <v>88</v>
      </c>
      <c r="O19" s="11">
        <v>100</v>
      </c>
      <c r="P19" s="11"/>
      <c r="Q19" s="136">
        <v>3.5999999999999999E-3</v>
      </c>
      <c r="R19" s="13"/>
      <c r="S19" s="136">
        <v>6.4999999999999997E-3</v>
      </c>
    </row>
    <row r="20" spans="1:22" ht="14.25" customHeight="1">
      <c r="A20" s="137" t="s">
        <v>10</v>
      </c>
      <c r="B20" s="158" t="s">
        <v>89</v>
      </c>
      <c r="C20" s="158" t="s">
        <v>100</v>
      </c>
      <c r="D20" s="155">
        <v>-50.439226072752582</v>
      </c>
      <c r="E20" s="155">
        <v>-21.205476000000004</v>
      </c>
      <c r="F20" s="158">
        <v>1999</v>
      </c>
      <c r="G20" s="83" t="s">
        <v>90</v>
      </c>
      <c r="H20" s="27" t="s">
        <v>177</v>
      </c>
      <c r="I20" s="158" t="s">
        <v>91</v>
      </c>
      <c r="J20" s="158" t="s">
        <v>92</v>
      </c>
      <c r="K20" s="158">
        <v>800</v>
      </c>
      <c r="L20" s="158">
        <v>0.01</v>
      </c>
      <c r="M20" s="158" t="s">
        <v>80</v>
      </c>
      <c r="N20" s="158" t="s">
        <v>88</v>
      </c>
      <c r="O20" s="111">
        <v>99.9</v>
      </c>
    </row>
    <row r="21" spans="1:22" ht="14.25" customHeight="1">
      <c r="A21" s="137" t="s">
        <v>10</v>
      </c>
      <c r="B21" s="158" t="s">
        <v>89</v>
      </c>
      <c r="C21" s="158" t="s">
        <v>102</v>
      </c>
      <c r="D21" s="155">
        <v>-49.083000867090362</v>
      </c>
      <c r="E21" s="155">
        <v>-22.325122500000006</v>
      </c>
      <c r="F21" s="158">
        <v>1999</v>
      </c>
      <c r="G21" s="83" t="s">
        <v>90</v>
      </c>
      <c r="H21" s="27" t="s">
        <v>177</v>
      </c>
      <c r="I21" s="158" t="s">
        <v>91</v>
      </c>
      <c r="J21" s="158" t="s">
        <v>92</v>
      </c>
      <c r="K21" s="158">
        <v>800</v>
      </c>
      <c r="L21" s="158">
        <v>0.01</v>
      </c>
      <c r="M21" s="158" t="s">
        <v>80</v>
      </c>
      <c r="N21" s="158" t="s">
        <v>88</v>
      </c>
      <c r="O21" s="111">
        <v>99.9</v>
      </c>
    </row>
    <row r="22" spans="1:22" ht="14.25" customHeight="1">
      <c r="A22" s="137" t="s">
        <v>10</v>
      </c>
      <c r="B22" s="158" t="s">
        <v>89</v>
      </c>
      <c r="C22" s="158" t="s">
        <v>101</v>
      </c>
      <c r="D22" s="155">
        <v>-48.567377839455055</v>
      </c>
      <c r="E22" s="155">
        <v>-20.558455515000002</v>
      </c>
      <c r="F22" s="158">
        <v>1999</v>
      </c>
      <c r="G22" s="83" t="s">
        <v>90</v>
      </c>
      <c r="H22" s="27" t="s">
        <v>177</v>
      </c>
      <c r="I22" s="158" t="s">
        <v>91</v>
      </c>
      <c r="J22" s="158" t="s">
        <v>92</v>
      </c>
      <c r="K22" s="158">
        <v>800</v>
      </c>
      <c r="L22" s="158">
        <v>0.01</v>
      </c>
      <c r="M22" s="158" t="s">
        <v>80</v>
      </c>
      <c r="N22" s="158" t="s">
        <v>88</v>
      </c>
      <c r="O22" s="111">
        <v>99.9</v>
      </c>
    </row>
    <row r="23" spans="1:22" ht="14.25" customHeight="1">
      <c r="A23" s="158" t="s">
        <v>94</v>
      </c>
      <c r="B23" s="158" t="s">
        <v>89</v>
      </c>
      <c r="C23" s="158" t="s">
        <v>104</v>
      </c>
      <c r="D23" s="109">
        <v>-47.06015627297316</v>
      </c>
      <c r="E23" s="109">
        <v>-22.907342500000002</v>
      </c>
      <c r="F23" s="158">
        <v>1999</v>
      </c>
      <c r="G23" s="83" t="s">
        <v>90</v>
      </c>
      <c r="H23" s="27" t="s">
        <v>177</v>
      </c>
      <c r="I23" s="158" t="s">
        <v>91</v>
      </c>
      <c r="J23" s="158" t="s">
        <v>92</v>
      </c>
      <c r="K23" s="158">
        <v>800</v>
      </c>
      <c r="L23" s="158">
        <v>0.01</v>
      </c>
      <c r="M23" s="158" t="s">
        <v>80</v>
      </c>
      <c r="N23" s="158" t="s">
        <v>88</v>
      </c>
      <c r="O23" s="111">
        <v>100</v>
      </c>
    </row>
    <row r="24" spans="1:22" ht="14.25" customHeight="1">
      <c r="A24" s="137" t="s">
        <v>10</v>
      </c>
      <c r="B24" s="158" t="s">
        <v>89</v>
      </c>
      <c r="C24" s="158" t="s">
        <v>107</v>
      </c>
      <c r="D24" s="109">
        <v>-49.951645643103269</v>
      </c>
      <c r="E24" s="109">
        <v>-22.122743500000002</v>
      </c>
      <c r="F24" s="158">
        <v>1999</v>
      </c>
      <c r="G24" s="83" t="s">
        <v>90</v>
      </c>
      <c r="H24" s="27" t="s">
        <v>177</v>
      </c>
      <c r="I24" s="158" t="s">
        <v>91</v>
      </c>
      <c r="J24" s="158" t="s">
        <v>92</v>
      </c>
      <c r="K24" s="158">
        <v>800</v>
      </c>
      <c r="L24" s="158">
        <v>0.01</v>
      </c>
      <c r="M24" s="158" t="s">
        <v>80</v>
      </c>
      <c r="N24" s="158" t="s">
        <v>88</v>
      </c>
      <c r="O24" s="111">
        <v>100</v>
      </c>
    </row>
    <row r="25" spans="1:22" ht="14.25" customHeight="1">
      <c r="A25" s="137" t="s">
        <v>10</v>
      </c>
      <c r="B25" s="158" t="s">
        <v>89</v>
      </c>
      <c r="C25" s="158" t="s">
        <v>108</v>
      </c>
      <c r="D25" s="109">
        <v>-51.386765581912492</v>
      </c>
      <c r="E25" s="109">
        <v>-24.494251427999906</v>
      </c>
      <c r="F25" s="158">
        <v>1999</v>
      </c>
      <c r="G25" s="83" t="s">
        <v>90</v>
      </c>
      <c r="H25" s="27" t="s">
        <v>177</v>
      </c>
      <c r="I25" s="158" t="s">
        <v>91</v>
      </c>
      <c r="J25" s="158" t="s">
        <v>92</v>
      </c>
      <c r="K25" s="158">
        <v>800</v>
      </c>
      <c r="L25" s="158">
        <v>0.01</v>
      </c>
      <c r="M25" s="158" t="s">
        <v>80</v>
      </c>
      <c r="N25" s="158" t="s">
        <v>88</v>
      </c>
      <c r="O25" s="111">
        <v>100</v>
      </c>
    </row>
    <row r="26" spans="1:22" ht="14.25" customHeight="1">
      <c r="A26" s="158" t="s">
        <v>94</v>
      </c>
      <c r="B26" s="158" t="s">
        <v>89</v>
      </c>
      <c r="C26" s="158" t="s">
        <v>109</v>
      </c>
      <c r="D26" s="109">
        <v>-47.805475915541528</v>
      </c>
      <c r="E26" s="109">
        <v>-21.184834500000004</v>
      </c>
      <c r="F26" s="158">
        <v>1999</v>
      </c>
      <c r="G26" s="83" t="s">
        <v>90</v>
      </c>
      <c r="H26" s="27" t="s">
        <v>177</v>
      </c>
      <c r="I26" s="158" t="s">
        <v>91</v>
      </c>
      <c r="J26" s="158" t="s">
        <v>92</v>
      </c>
      <c r="K26" s="158">
        <v>800</v>
      </c>
      <c r="L26" s="158">
        <v>0.01</v>
      </c>
      <c r="M26" s="158" t="s">
        <v>80</v>
      </c>
      <c r="N26" s="158" t="s">
        <v>88</v>
      </c>
      <c r="O26" s="111">
        <v>100</v>
      </c>
    </row>
    <row r="27" spans="1:22" ht="14.25" customHeight="1" thickBot="1">
      <c r="A27" s="145" t="s">
        <v>10</v>
      </c>
      <c r="B27" s="11" t="s">
        <v>89</v>
      </c>
      <c r="C27" s="11" t="s">
        <v>110</v>
      </c>
      <c r="D27" s="110">
        <v>-46.331370849190684</v>
      </c>
      <c r="E27" s="110">
        <v>-23.933737500000003</v>
      </c>
      <c r="F27" s="11">
        <v>1999</v>
      </c>
      <c r="G27" s="98" t="s">
        <v>90</v>
      </c>
      <c r="H27" s="11" t="s">
        <v>177</v>
      </c>
      <c r="I27" s="11" t="s">
        <v>91</v>
      </c>
      <c r="J27" s="11" t="s">
        <v>92</v>
      </c>
      <c r="K27" s="11">
        <v>800</v>
      </c>
      <c r="L27" s="11">
        <v>0.01</v>
      </c>
      <c r="M27" s="11" t="s">
        <v>80</v>
      </c>
      <c r="N27" s="11" t="s">
        <v>88</v>
      </c>
      <c r="O27" s="114">
        <v>99.9</v>
      </c>
      <c r="P27" s="11"/>
      <c r="Q27" s="11"/>
      <c r="R27" s="11"/>
      <c r="S27" s="11"/>
    </row>
    <row r="29" spans="1:22" ht="14.25" customHeight="1">
      <c r="E29" s="158" t="s">
        <v>99</v>
      </c>
    </row>
    <row r="30" spans="1:22" ht="14.25" customHeight="1">
      <c r="C30" s="2"/>
      <c r="D30" s="2"/>
      <c r="E30" s="2"/>
    </row>
    <row r="31" spans="1:22" ht="14.25" customHeight="1">
      <c r="C31" s="2"/>
      <c r="D31" s="2"/>
      <c r="E31" s="2"/>
    </row>
    <row r="32" spans="1:22" ht="14.25" customHeight="1">
      <c r="C32" s="2"/>
      <c r="D32" s="2"/>
      <c r="E32" s="2"/>
    </row>
    <row r="33" spans="3:5" ht="14.25" customHeight="1">
      <c r="C33" s="2"/>
      <c r="D33" s="2"/>
      <c r="E33" s="2"/>
    </row>
    <row r="34" spans="3:5" ht="14.25" customHeight="1">
      <c r="C34" s="2"/>
      <c r="D34" s="2"/>
      <c r="E34" s="2"/>
    </row>
    <row r="35" spans="3:5" ht="14.25" customHeight="1">
      <c r="C35" s="2"/>
      <c r="D35" s="2"/>
      <c r="E35" s="2"/>
    </row>
    <row r="36" spans="3:5" ht="14.25" customHeight="1">
      <c r="C36" s="2"/>
      <c r="D36" s="2"/>
      <c r="E36" s="2"/>
    </row>
    <row r="37" spans="3:5" ht="14.25" customHeight="1">
      <c r="C37" s="2"/>
      <c r="D37" s="2"/>
      <c r="E37" s="2"/>
    </row>
    <row r="38" spans="3:5" ht="14.25" customHeight="1">
      <c r="C38" s="2"/>
      <c r="D38" s="2"/>
      <c r="E38" s="2"/>
    </row>
    <row r="39" spans="3:5" ht="14.25" customHeight="1">
      <c r="C39" s="2"/>
      <c r="D39" s="2"/>
      <c r="E39" s="2"/>
    </row>
  </sheetData>
  <phoneticPr fontId="48" type="noConversion"/>
  <conditionalFormatting sqref="D2">
    <cfRule type="cellIs" dxfId="362" priority="19" stopIfTrue="1" operator="between">
      <formula>0</formula>
      <formula>79.9</formula>
    </cfRule>
    <cfRule type="cellIs" dxfId="361" priority="20" stopIfTrue="1" operator="between">
      <formula>80</formula>
      <formula>97.9</formula>
    </cfRule>
    <cfRule type="cellIs" dxfId="360" priority="21" stopIfTrue="1" operator="between">
      <formula>98</formula>
      <formula>100</formula>
    </cfRule>
  </conditionalFormatting>
  <conditionalFormatting sqref="D4">
    <cfRule type="cellIs" dxfId="359" priority="16" stopIfTrue="1" operator="between">
      <formula>0</formula>
      <formula>79.9</formula>
    </cfRule>
    <cfRule type="cellIs" dxfId="358" priority="17" stopIfTrue="1" operator="between">
      <formula>80</formula>
      <formula>97.9</formula>
    </cfRule>
    <cfRule type="cellIs" dxfId="357" priority="18" stopIfTrue="1" operator="between">
      <formula>98</formula>
      <formula>100</formula>
    </cfRule>
  </conditionalFormatting>
  <conditionalFormatting sqref="D11">
    <cfRule type="cellIs" dxfId="356" priority="13" stopIfTrue="1" operator="between">
      <formula>0</formula>
      <formula>79.9</formula>
    </cfRule>
    <cfRule type="cellIs" dxfId="355" priority="14" stopIfTrue="1" operator="between">
      <formula>80</formula>
      <formula>97.9</formula>
    </cfRule>
    <cfRule type="cellIs" dxfId="354" priority="15" stopIfTrue="1" operator="between">
      <formula>98</formula>
      <formula>100</formula>
    </cfRule>
  </conditionalFormatting>
  <conditionalFormatting sqref="D13">
    <cfRule type="cellIs" dxfId="353" priority="10" stopIfTrue="1" operator="between">
      <formula>0</formula>
      <formula>79.9</formula>
    </cfRule>
    <cfRule type="cellIs" dxfId="352" priority="11" stopIfTrue="1" operator="between">
      <formula>80</formula>
      <formula>97.9</formula>
    </cfRule>
    <cfRule type="cellIs" dxfId="351" priority="12" stopIfTrue="1" operator="between">
      <formula>98</formula>
      <formula>100</formula>
    </cfRule>
  </conditionalFormatting>
  <conditionalFormatting sqref="D20">
    <cfRule type="cellIs" dxfId="350" priority="7" stopIfTrue="1" operator="between">
      <formula>0</formula>
      <formula>79.9</formula>
    </cfRule>
    <cfRule type="cellIs" dxfId="349" priority="8" stopIfTrue="1" operator="between">
      <formula>80</formula>
      <formula>97.9</formula>
    </cfRule>
    <cfRule type="cellIs" dxfId="348" priority="9" stopIfTrue="1" operator="between">
      <formula>98</formula>
      <formula>100</formula>
    </cfRule>
  </conditionalFormatting>
  <conditionalFormatting sqref="D22">
    <cfRule type="cellIs" dxfId="347" priority="4" stopIfTrue="1" operator="between">
      <formula>0</formula>
      <formula>79.9</formula>
    </cfRule>
    <cfRule type="cellIs" dxfId="346" priority="5" stopIfTrue="1" operator="between">
      <formula>80</formula>
      <formula>97.9</formula>
    </cfRule>
    <cfRule type="cellIs" dxfId="345" priority="6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C2:L27"/>
  <sheetViews>
    <sheetView workbookViewId="0">
      <selection activeCell="D26" sqref="D26"/>
    </sheetView>
  </sheetViews>
  <sheetFormatPr baseColWidth="10" defaultColWidth="8.83203125" defaultRowHeight="14"/>
  <cols>
    <col min="3" max="3" width="14.5" customWidth="1"/>
    <col min="4" max="4" width="89.1640625" bestFit="1" customWidth="1"/>
  </cols>
  <sheetData>
    <row r="2" spans="3:12">
      <c r="C2" s="120" t="s">
        <v>51</v>
      </c>
    </row>
    <row r="3" spans="3:12">
      <c r="C3" t="s">
        <v>52</v>
      </c>
    </row>
    <row r="5" spans="3:12">
      <c r="C5" t="s">
        <v>53</v>
      </c>
    </row>
    <row r="7" spans="3:12">
      <c r="C7" s="120" t="s">
        <v>54</v>
      </c>
    </row>
    <row r="8" spans="3:12">
      <c r="D8" t="s">
        <v>55</v>
      </c>
      <c r="K8">
        <f>20*4*8*3</f>
        <v>1920</v>
      </c>
      <c r="L8" t="s">
        <v>56</v>
      </c>
    </row>
    <row r="9" spans="3:12">
      <c r="K9">
        <f>20*8*4*4</f>
        <v>2560</v>
      </c>
      <c r="L9" t="s">
        <v>57</v>
      </c>
    </row>
    <row r="11" spans="3:12">
      <c r="D11" t="s">
        <v>58</v>
      </c>
      <c r="K11">
        <f>10*8*4*3</f>
        <v>960</v>
      </c>
      <c r="L11" t="s">
        <v>56</v>
      </c>
    </row>
    <row r="12" spans="3:12">
      <c r="K12">
        <f>10*8*4*4</f>
        <v>1280</v>
      </c>
    </row>
    <row r="13" spans="3:12">
      <c r="D13" t="s">
        <v>62</v>
      </c>
      <c r="G13" t="s">
        <v>63</v>
      </c>
      <c r="K13">
        <f>4*8*25</f>
        <v>800</v>
      </c>
    </row>
    <row r="14" spans="3:12">
      <c r="D14" t="s">
        <v>64</v>
      </c>
      <c r="G14" t="s">
        <v>65</v>
      </c>
      <c r="K14">
        <f>4*4*25</f>
        <v>400</v>
      </c>
    </row>
    <row r="16" spans="3:12">
      <c r="C16" s="120" t="s">
        <v>59</v>
      </c>
      <c r="D16" t="s">
        <v>60</v>
      </c>
    </row>
    <row r="17" spans="3:4">
      <c r="D17" t="s">
        <v>61</v>
      </c>
    </row>
    <row r="20" spans="3:4">
      <c r="C20" t="s">
        <v>66</v>
      </c>
    </row>
    <row r="21" spans="3:4" ht="45">
      <c r="C21" s="144">
        <v>1</v>
      </c>
      <c r="D21" s="139" t="s">
        <v>67</v>
      </c>
    </row>
    <row r="22" spans="3:4" ht="60">
      <c r="C22" s="144">
        <v>2</v>
      </c>
      <c r="D22" s="139" t="s">
        <v>68</v>
      </c>
    </row>
    <row r="23" spans="3:4" ht="45">
      <c r="C23" s="144">
        <v>3</v>
      </c>
      <c r="D23" s="139" t="s">
        <v>0</v>
      </c>
    </row>
    <row r="24" spans="3:4" ht="45">
      <c r="C24" s="144">
        <v>4</v>
      </c>
      <c r="D24" s="140" t="s">
        <v>1</v>
      </c>
    </row>
    <row r="25" spans="3:4" ht="45">
      <c r="C25" s="144">
        <v>5</v>
      </c>
      <c r="D25" s="141" t="s">
        <v>2</v>
      </c>
    </row>
    <row r="26" spans="3:4" ht="45">
      <c r="C26" s="144">
        <v>6</v>
      </c>
      <c r="D26" s="142" t="s">
        <v>5</v>
      </c>
    </row>
    <row r="27" spans="3:4" ht="45">
      <c r="C27" s="144">
        <v>7</v>
      </c>
      <c r="D27" s="143" t="s">
        <v>3</v>
      </c>
    </row>
  </sheetData>
  <sheetCalcPr fullCalcOnLoad="1"/>
  <phoneticPr fontId="48" type="noConversion"/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35"/>
  <sheetViews>
    <sheetView topLeftCell="A7" workbookViewId="0">
      <selection activeCell="A30" sqref="A30"/>
    </sheetView>
  </sheetViews>
  <sheetFormatPr baseColWidth="10" defaultColWidth="8.83203125" defaultRowHeight="14.25" customHeight="1"/>
  <cols>
    <col min="1" max="1" width="17.83203125" style="17" bestFit="1" customWidth="1"/>
    <col min="2" max="2" width="7" style="17" bestFit="1" customWidth="1"/>
    <col min="3" max="3" width="22" style="248" bestFit="1" customWidth="1"/>
    <col min="4" max="4" width="13.1640625" style="18" customWidth="1"/>
    <col min="5" max="5" width="14.6640625" style="18" customWidth="1"/>
    <col min="6" max="6" width="12.6640625" style="18" customWidth="1"/>
    <col min="7" max="7" width="12.6640625" style="18" bestFit="1" customWidth="1"/>
    <col min="8" max="8" width="15.5" style="18" bestFit="1" customWidth="1"/>
    <col min="9" max="9" width="17.5" style="18" customWidth="1"/>
    <col min="10" max="10" width="10.83203125" style="18" bestFit="1" customWidth="1"/>
    <col min="11" max="11" width="13.5" style="27" bestFit="1" customWidth="1"/>
    <col min="12" max="12" width="12" style="18" bestFit="1" customWidth="1"/>
    <col min="13" max="13" width="9.33203125" style="18" bestFit="1" customWidth="1"/>
    <col min="14" max="14" width="7.6640625" style="18" bestFit="1" customWidth="1"/>
    <col min="15" max="15" width="14.1640625" style="18" bestFit="1" customWidth="1"/>
    <col min="16" max="16" width="14.5" style="18" bestFit="1" customWidth="1"/>
    <col min="17" max="19" width="7.33203125" style="18" bestFit="1" customWidth="1"/>
    <col min="20" max="16384" width="8.83203125" style="18"/>
  </cols>
  <sheetData>
    <row r="1" spans="1:19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9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1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19" ht="14.25" customHeight="1">
      <c r="A2" s="159" t="s">
        <v>94</v>
      </c>
      <c r="B2" s="17" t="s">
        <v>89</v>
      </c>
      <c r="C2" s="259" t="s">
        <v>124</v>
      </c>
      <c r="D2" s="261"/>
      <c r="E2" s="262"/>
      <c r="F2" s="18">
        <v>2000</v>
      </c>
      <c r="G2" s="19" t="s">
        <v>90</v>
      </c>
      <c r="H2" s="18" t="s">
        <v>187</v>
      </c>
      <c r="I2" s="17" t="s">
        <v>91</v>
      </c>
      <c r="J2" s="18" t="s">
        <v>81</v>
      </c>
      <c r="K2" s="158">
        <v>640</v>
      </c>
      <c r="L2" s="27">
        <v>1.2E-2</v>
      </c>
      <c r="M2" s="17" t="s">
        <v>80</v>
      </c>
      <c r="N2" s="27" t="s">
        <v>88</v>
      </c>
      <c r="O2" s="17">
        <v>100</v>
      </c>
      <c r="P2" s="43">
        <v>9.9999999999999829E-5</v>
      </c>
      <c r="Q2" s="43">
        <v>2.3E-3</v>
      </c>
      <c r="R2" s="43">
        <v>3.3999999999999998E-3</v>
      </c>
      <c r="S2" s="43">
        <v>4.0000000000000001E-3</v>
      </c>
    </row>
    <row r="3" spans="1:19" ht="14.25" customHeight="1">
      <c r="A3" s="137" t="s">
        <v>8</v>
      </c>
      <c r="B3" s="17" t="s">
        <v>89</v>
      </c>
      <c r="C3" s="251" t="s">
        <v>100</v>
      </c>
      <c r="D3" s="109">
        <v>-50.439226072752582</v>
      </c>
      <c r="E3" s="109">
        <v>-21.205476000000004</v>
      </c>
      <c r="F3" s="17">
        <v>2000</v>
      </c>
      <c r="G3" s="19" t="s">
        <v>90</v>
      </c>
      <c r="H3" s="18" t="s">
        <v>177</v>
      </c>
      <c r="I3" s="17" t="s">
        <v>91</v>
      </c>
      <c r="J3" s="17" t="s">
        <v>81</v>
      </c>
      <c r="K3" s="158">
        <v>900</v>
      </c>
      <c r="L3" s="17">
        <v>1.2E-2</v>
      </c>
      <c r="M3" s="17" t="s">
        <v>80</v>
      </c>
      <c r="N3" s="17" t="s">
        <v>88</v>
      </c>
      <c r="O3" s="17">
        <v>97</v>
      </c>
      <c r="P3" s="43">
        <v>5.0000000000000044E-4</v>
      </c>
      <c r="Q3" s="43">
        <v>4.7999999999999996E-3</v>
      </c>
      <c r="R3" s="43">
        <v>7.4000000000000003E-3</v>
      </c>
      <c r="S3" s="43">
        <v>8.8999999999999999E-3</v>
      </c>
    </row>
    <row r="4" spans="1:19" ht="14.25" customHeight="1">
      <c r="A4" s="137" t="s">
        <v>8</v>
      </c>
      <c r="B4" s="17" t="s">
        <v>89</v>
      </c>
      <c r="C4" s="251" t="s">
        <v>102</v>
      </c>
      <c r="D4" s="109">
        <v>-49.083000867090362</v>
      </c>
      <c r="E4" s="109">
        <v>-22.325122500000006</v>
      </c>
      <c r="F4" s="17">
        <v>2000</v>
      </c>
      <c r="G4" s="19" t="s">
        <v>90</v>
      </c>
      <c r="H4" s="18" t="s">
        <v>177</v>
      </c>
      <c r="I4" s="17" t="s">
        <v>91</v>
      </c>
      <c r="J4" s="17" t="s">
        <v>81</v>
      </c>
      <c r="K4" s="158">
        <v>900</v>
      </c>
      <c r="L4" s="17">
        <v>1.2E-2</v>
      </c>
      <c r="M4" s="17" t="s">
        <v>80</v>
      </c>
      <c r="N4" s="17" t="s">
        <v>88</v>
      </c>
      <c r="O4" s="17">
        <v>100</v>
      </c>
      <c r="P4" s="43">
        <v>2.9999999999999992E-4</v>
      </c>
      <c r="Q4" s="43">
        <v>3.0999999999999999E-3</v>
      </c>
      <c r="R4" s="43">
        <v>5.0000000000000001E-3</v>
      </c>
      <c r="S4" s="43">
        <v>6.0000000000000001E-3</v>
      </c>
    </row>
    <row r="5" spans="1:19" ht="14.25" customHeight="1">
      <c r="A5" s="137" t="s">
        <v>8</v>
      </c>
      <c r="B5" s="17" t="s">
        <v>89</v>
      </c>
      <c r="C5" s="251" t="s">
        <v>101</v>
      </c>
      <c r="D5" s="109">
        <v>-48.567377839455055</v>
      </c>
      <c r="E5" s="109">
        <v>-20.558455515000002</v>
      </c>
      <c r="F5" s="17">
        <v>2000</v>
      </c>
      <c r="G5" s="19" t="s">
        <v>90</v>
      </c>
      <c r="H5" s="18" t="s">
        <v>177</v>
      </c>
      <c r="I5" s="17" t="s">
        <v>91</v>
      </c>
      <c r="J5" s="17" t="s">
        <v>81</v>
      </c>
      <c r="K5" s="158">
        <v>900</v>
      </c>
      <c r="L5" s="17">
        <v>1.2E-2</v>
      </c>
      <c r="M5" s="17" t="s">
        <v>80</v>
      </c>
      <c r="N5" s="17" t="s">
        <v>88</v>
      </c>
      <c r="O5" s="28">
        <v>94</v>
      </c>
      <c r="P5" s="43">
        <v>5.0000000000000044E-4</v>
      </c>
      <c r="Q5" s="43">
        <v>4.0000000000000001E-3</v>
      </c>
      <c r="R5" s="43">
        <v>8.0000000000000002E-3</v>
      </c>
      <c r="S5" s="43">
        <v>0.01</v>
      </c>
    </row>
    <row r="6" spans="1:19" ht="14.25" customHeight="1">
      <c r="A6" s="137" t="s">
        <v>8</v>
      </c>
      <c r="B6" s="17" t="s">
        <v>89</v>
      </c>
      <c r="C6" s="251" t="s">
        <v>104</v>
      </c>
      <c r="D6" s="109">
        <v>-47.06015627297316</v>
      </c>
      <c r="E6" s="109">
        <v>-22.907342500000002</v>
      </c>
      <c r="F6" s="17">
        <v>2000</v>
      </c>
      <c r="G6" s="19" t="s">
        <v>90</v>
      </c>
      <c r="H6" s="18" t="s">
        <v>177</v>
      </c>
      <c r="I6" s="17" t="s">
        <v>91</v>
      </c>
      <c r="J6" s="17" t="s">
        <v>81</v>
      </c>
      <c r="K6" s="158">
        <v>900</v>
      </c>
      <c r="L6" s="17">
        <v>1.2E-2</v>
      </c>
      <c r="M6" s="17" t="s">
        <v>80</v>
      </c>
      <c r="N6" s="17" t="s">
        <v>88</v>
      </c>
      <c r="O6" s="17">
        <v>100</v>
      </c>
      <c r="P6" s="43">
        <v>2.9999999999999992E-4</v>
      </c>
      <c r="Q6" s="43">
        <v>4.1999999999999997E-3</v>
      </c>
      <c r="R6" s="43">
        <v>8.9999999999999993E-3</v>
      </c>
      <c r="S6" s="43">
        <v>1.2999999999999999E-2</v>
      </c>
    </row>
    <row r="7" spans="1:19" ht="14.25" customHeight="1">
      <c r="A7" s="137" t="s">
        <v>8</v>
      </c>
      <c r="B7" s="17" t="s">
        <v>89</v>
      </c>
      <c r="C7" s="251" t="s">
        <v>107</v>
      </c>
      <c r="D7" s="109">
        <v>-49.951645643103269</v>
      </c>
      <c r="E7" s="109">
        <v>-22.122743500000002</v>
      </c>
      <c r="F7" s="17">
        <v>2000</v>
      </c>
      <c r="G7" s="19" t="s">
        <v>90</v>
      </c>
      <c r="H7" s="18" t="s">
        <v>177</v>
      </c>
      <c r="I7" s="17" t="s">
        <v>91</v>
      </c>
      <c r="J7" s="17" t="s">
        <v>81</v>
      </c>
      <c r="K7" s="158">
        <v>900</v>
      </c>
      <c r="L7" s="17">
        <v>1.2E-2</v>
      </c>
      <c r="M7" s="17" t="s">
        <v>80</v>
      </c>
      <c r="N7" s="17" t="s">
        <v>88</v>
      </c>
      <c r="O7" s="17">
        <v>99.8</v>
      </c>
      <c r="P7" s="43">
        <v>2.0000000000000052E-4</v>
      </c>
      <c r="Q7" s="43">
        <v>3.7000000000000002E-3</v>
      </c>
      <c r="R7" s="43">
        <v>5.7000000000000002E-3</v>
      </c>
      <c r="S7" s="43">
        <v>7.0000000000000001E-3</v>
      </c>
    </row>
    <row r="8" spans="1:19" ht="14.25" customHeight="1">
      <c r="A8" s="137" t="s">
        <v>8</v>
      </c>
      <c r="B8" s="17" t="s">
        <v>89</v>
      </c>
      <c r="C8" s="251" t="s">
        <v>108</v>
      </c>
      <c r="D8" s="109">
        <v>-51.386765581912492</v>
      </c>
      <c r="E8" s="109">
        <v>-24.494251427999906</v>
      </c>
      <c r="F8" s="17">
        <v>2000</v>
      </c>
      <c r="G8" s="19" t="s">
        <v>90</v>
      </c>
      <c r="H8" s="18" t="s">
        <v>177</v>
      </c>
      <c r="I8" s="17" t="s">
        <v>91</v>
      </c>
      <c r="J8" s="17" t="s">
        <v>81</v>
      </c>
      <c r="K8" s="158">
        <v>900</v>
      </c>
      <c r="L8" s="17">
        <v>1.2E-2</v>
      </c>
      <c r="M8" s="17" t="s">
        <v>80</v>
      </c>
      <c r="N8" s="17" t="s">
        <v>88</v>
      </c>
      <c r="O8" s="17">
        <v>100</v>
      </c>
      <c r="P8" s="43">
        <v>1.0000000000000026E-4</v>
      </c>
      <c r="Q8" s="4">
        <v>2.7000000000000001E-3</v>
      </c>
      <c r="R8" s="4">
        <v>4.1000000000000003E-3</v>
      </c>
      <c r="S8" s="4">
        <v>5.1000000000000004E-3</v>
      </c>
    </row>
    <row r="9" spans="1:19" ht="14.25" customHeight="1">
      <c r="A9" s="137" t="s">
        <v>8</v>
      </c>
      <c r="B9" s="17" t="s">
        <v>89</v>
      </c>
      <c r="C9" s="251" t="s">
        <v>109</v>
      </c>
      <c r="D9" s="109">
        <v>-47.805475915541528</v>
      </c>
      <c r="E9" s="109">
        <v>-21.184834500000004</v>
      </c>
      <c r="F9" s="17">
        <v>2000</v>
      </c>
      <c r="G9" s="19" t="s">
        <v>90</v>
      </c>
      <c r="H9" s="18" t="s">
        <v>177</v>
      </c>
      <c r="I9" s="17" t="s">
        <v>91</v>
      </c>
      <c r="J9" s="17" t="s">
        <v>81</v>
      </c>
      <c r="K9" s="158">
        <v>1200</v>
      </c>
      <c r="L9" s="17">
        <v>1.2E-2</v>
      </c>
      <c r="M9" s="17" t="s">
        <v>80</v>
      </c>
      <c r="N9" s="17" t="s">
        <v>88</v>
      </c>
      <c r="O9" s="17">
        <v>99.2</v>
      </c>
      <c r="P9" s="43">
        <v>5.0000000000000044E-4</v>
      </c>
      <c r="Q9" s="43">
        <v>5.3E-3</v>
      </c>
      <c r="R9" s="43">
        <v>9.4999999999999998E-3</v>
      </c>
      <c r="S9" s="43">
        <v>1.2E-2</v>
      </c>
    </row>
    <row r="10" spans="1:19" ht="14.25" customHeight="1">
      <c r="A10" s="137" t="s">
        <v>8</v>
      </c>
      <c r="B10" s="17" t="s">
        <v>89</v>
      </c>
      <c r="C10" s="251" t="s">
        <v>112</v>
      </c>
      <c r="D10" s="109">
        <v>-49.381347685025794</v>
      </c>
      <c r="E10" s="109">
        <v>-20.812636500000004</v>
      </c>
      <c r="F10" s="17">
        <v>2000</v>
      </c>
      <c r="G10" s="19" t="s">
        <v>90</v>
      </c>
      <c r="H10" s="18" t="s">
        <v>177</v>
      </c>
      <c r="I10" s="17" t="s">
        <v>91</v>
      </c>
      <c r="J10" s="17" t="s">
        <v>81</v>
      </c>
      <c r="K10" s="158">
        <v>900</v>
      </c>
      <c r="L10" s="17">
        <v>1.2E-2</v>
      </c>
      <c r="M10" s="17" t="s">
        <v>80</v>
      </c>
      <c r="N10" s="17" t="s">
        <v>88</v>
      </c>
      <c r="O10" s="17">
        <v>100</v>
      </c>
      <c r="P10" s="43">
        <v>5.0000000000000001E-4</v>
      </c>
      <c r="Q10" s="43">
        <v>4.1000000000000003E-3</v>
      </c>
      <c r="R10" s="43">
        <v>8.0000000000000002E-3</v>
      </c>
      <c r="S10" s="43">
        <v>0.01</v>
      </c>
    </row>
    <row r="11" spans="1:19" ht="14.25" customHeight="1">
      <c r="A11" s="137" t="s">
        <v>8</v>
      </c>
      <c r="B11" s="17" t="s">
        <v>89</v>
      </c>
      <c r="C11" s="251" t="s">
        <v>110</v>
      </c>
      <c r="D11" s="109">
        <v>-46.331370849190684</v>
      </c>
      <c r="E11" s="109">
        <v>-23.933737500000003</v>
      </c>
      <c r="F11" s="17">
        <v>2000</v>
      </c>
      <c r="G11" s="19" t="s">
        <v>90</v>
      </c>
      <c r="H11" s="18" t="s">
        <v>186</v>
      </c>
      <c r="I11" s="17" t="s">
        <v>91</v>
      </c>
      <c r="J11" s="17" t="s">
        <v>81</v>
      </c>
      <c r="K11" s="158">
        <v>900</v>
      </c>
      <c r="L11" s="17">
        <v>1.2E-2</v>
      </c>
      <c r="M11" s="17" t="s">
        <v>80</v>
      </c>
      <c r="N11" s="17" t="s">
        <v>88</v>
      </c>
      <c r="O11" s="17">
        <v>80.5</v>
      </c>
      <c r="P11" s="43">
        <v>0</v>
      </c>
      <c r="Q11" s="43">
        <v>6.1000000000000004E-3</v>
      </c>
      <c r="R11" s="43">
        <v>0.01</v>
      </c>
      <c r="S11" s="43">
        <v>1.2999999999999999E-2</v>
      </c>
    </row>
    <row r="12" spans="1:19" ht="14.25" customHeight="1">
      <c r="A12" s="159" t="s">
        <v>94</v>
      </c>
      <c r="B12" s="17" t="s">
        <v>89</v>
      </c>
      <c r="C12" s="251" t="s">
        <v>95</v>
      </c>
      <c r="D12" s="109">
        <v>-46.570383182112749</v>
      </c>
      <c r="E12" s="109">
        <v>-23.567386500000001</v>
      </c>
      <c r="F12" s="17">
        <v>2000</v>
      </c>
      <c r="G12" s="19" t="s">
        <v>90</v>
      </c>
      <c r="H12" s="18" t="s">
        <v>177</v>
      </c>
      <c r="I12" s="17" t="s">
        <v>91</v>
      </c>
      <c r="J12" s="17" t="s">
        <v>81</v>
      </c>
      <c r="K12" s="158">
        <v>1200</v>
      </c>
      <c r="L12" s="17">
        <v>1.2E-2</v>
      </c>
      <c r="M12" s="17" t="s">
        <v>80</v>
      </c>
      <c r="N12" s="17" t="s">
        <v>88</v>
      </c>
      <c r="O12" s="17">
        <v>88.7</v>
      </c>
      <c r="P12" s="43">
        <v>1.0000000000000009E-3</v>
      </c>
      <c r="Q12" s="43">
        <v>3.5000000000000001E-3</v>
      </c>
      <c r="R12" s="43">
        <v>8.5000000000000006E-3</v>
      </c>
      <c r="S12" s="43">
        <v>1.2E-2</v>
      </c>
    </row>
    <row r="13" spans="1:19" ht="14.25" customHeight="1">
      <c r="A13" s="159" t="s">
        <v>94</v>
      </c>
      <c r="B13" s="17" t="s">
        <v>89</v>
      </c>
      <c r="C13" s="12" t="s">
        <v>32</v>
      </c>
      <c r="D13" s="109">
        <v>-37.048212639512251</v>
      </c>
      <c r="E13" s="109">
        <v>-10.9072157978835</v>
      </c>
      <c r="F13" s="17">
        <v>2000</v>
      </c>
      <c r="G13" s="19" t="s">
        <v>90</v>
      </c>
      <c r="H13" s="18" t="s">
        <v>177</v>
      </c>
      <c r="I13" s="17" t="s">
        <v>91</v>
      </c>
      <c r="J13" s="17" t="s">
        <v>81</v>
      </c>
      <c r="K13" s="158">
        <v>800</v>
      </c>
      <c r="L13" s="17">
        <v>1.2E-2</v>
      </c>
      <c r="M13" s="17" t="s">
        <v>80</v>
      </c>
      <c r="N13" s="17" t="s">
        <v>88</v>
      </c>
      <c r="O13" s="17">
        <v>64.099999999999994</v>
      </c>
      <c r="P13" s="43">
        <v>9.9999999999999742E-4</v>
      </c>
      <c r="Q13" s="4">
        <v>9.4999999999999998E-3</v>
      </c>
      <c r="R13" s="4">
        <v>1.7999999999999999E-2</v>
      </c>
      <c r="S13" s="4">
        <v>2.3E-2</v>
      </c>
    </row>
    <row r="14" spans="1:19" ht="14.25" customHeight="1">
      <c r="A14" s="159" t="s">
        <v>94</v>
      </c>
      <c r="B14" s="17" t="s">
        <v>89</v>
      </c>
      <c r="C14" s="12" t="s">
        <v>33</v>
      </c>
      <c r="D14" s="109">
        <v>-37.041241549282795</v>
      </c>
      <c r="E14" s="109">
        <v>-10.906799247084251</v>
      </c>
      <c r="F14" s="17">
        <v>2000</v>
      </c>
      <c r="G14" s="19" t="s">
        <v>90</v>
      </c>
      <c r="H14" s="18" t="s">
        <v>177</v>
      </c>
      <c r="I14" s="17" t="s">
        <v>91</v>
      </c>
      <c r="J14" s="17" t="s">
        <v>81</v>
      </c>
      <c r="K14" s="158">
        <v>800</v>
      </c>
      <c r="L14" s="17">
        <v>1.2E-2</v>
      </c>
      <c r="M14" s="17" t="s">
        <v>80</v>
      </c>
      <c r="N14" s="17" t="s">
        <v>88</v>
      </c>
      <c r="O14" s="17">
        <v>94.3</v>
      </c>
      <c r="P14" s="43">
        <v>9.9999999999999915E-4</v>
      </c>
      <c r="Q14" s="43">
        <v>5.7000000000000002E-3</v>
      </c>
      <c r="R14" s="43">
        <v>1.0999999999999999E-2</v>
      </c>
      <c r="S14" s="43">
        <v>1.4999999999999999E-2</v>
      </c>
    </row>
    <row r="15" spans="1:19" ht="14.25" customHeight="1">
      <c r="A15" s="159" t="s">
        <v>94</v>
      </c>
      <c r="B15" s="17" t="s">
        <v>89</v>
      </c>
      <c r="C15" s="12" t="s">
        <v>34</v>
      </c>
      <c r="D15" s="109">
        <v>-37.426860940332439</v>
      </c>
      <c r="E15" s="109">
        <v>-10.6857160383187</v>
      </c>
      <c r="F15" s="17">
        <v>2000</v>
      </c>
      <c r="G15" s="19" t="s">
        <v>90</v>
      </c>
      <c r="H15" s="18" t="s">
        <v>177</v>
      </c>
      <c r="I15" s="17" t="s">
        <v>91</v>
      </c>
      <c r="J15" s="17" t="s">
        <v>81</v>
      </c>
      <c r="K15" s="158">
        <v>800</v>
      </c>
      <c r="L15" s="17">
        <v>1.2E-2</v>
      </c>
      <c r="M15" s="17" t="s">
        <v>80</v>
      </c>
      <c r="N15" s="17" t="s">
        <v>88</v>
      </c>
      <c r="O15" s="17">
        <v>65.3</v>
      </c>
      <c r="P15" s="43">
        <v>3.0000000000000027E-3</v>
      </c>
      <c r="Q15" s="43">
        <v>1.2999999999999999E-2</v>
      </c>
      <c r="R15" s="43">
        <v>2.9000000000000001E-2</v>
      </c>
      <c r="S15" s="43">
        <v>0.04</v>
      </c>
    </row>
    <row r="16" spans="1:19" ht="14.25" customHeight="1">
      <c r="A16" s="159" t="s">
        <v>94</v>
      </c>
      <c r="B16" s="17" t="s">
        <v>89</v>
      </c>
      <c r="C16" s="12" t="s">
        <v>35</v>
      </c>
      <c r="D16" s="109">
        <v>-36.657296506287189</v>
      </c>
      <c r="E16" s="109">
        <v>-9.7559070107047017</v>
      </c>
      <c r="F16" s="17">
        <v>2000</v>
      </c>
      <c r="G16" s="19" t="s">
        <v>90</v>
      </c>
      <c r="H16" s="18" t="s">
        <v>177</v>
      </c>
      <c r="I16" s="17" t="s">
        <v>91</v>
      </c>
      <c r="J16" s="17" t="s">
        <v>81</v>
      </c>
      <c r="K16" s="158">
        <v>800</v>
      </c>
      <c r="L16" s="17">
        <v>1.2E-2</v>
      </c>
      <c r="M16" s="17" t="s">
        <v>80</v>
      </c>
      <c r="N16" s="17" t="s">
        <v>88</v>
      </c>
      <c r="O16" s="17">
        <v>62.9</v>
      </c>
      <c r="P16" s="43">
        <v>0</v>
      </c>
      <c r="Q16" s="43">
        <v>1.01E-2</v>
      </c>
      <c r="R16" s="43">
        <v>1.4500000000000001E-2</v>
      </c>
      <c r="S16" s="43">
        <v>1.7899999999999999E-2</v>
      </c>
    </row>
    <row r="17" spans="1:19" ht="14.25" customHeight="1">
      <c r="A17" s="159" t="s">
        <v>94</v>
      </c>
      <c r="B17" s="17" t="s">
        <v>89</v>
      </c>
      <c r="C17" s="12" t="s">
        <v>36</v>
      </c>
      <c r="D17" s="109">
        <v>-35.701629913489491</v>
      </c>
      <c r="E17" s="109">
        <v>-9.660822151631141</v>
      </c>
      <c r="F17" s="17">
        <v>2000</v>
      </c>
      <c r="G17" s="19" t="s">
        <v>90</v>
      </c>
      <c r="H17" s="18" t="s">
        <v>177</v>
      </c>
      <c r="I17" s="17" t="s">
        <v>91</v>
      </c>
      <c r="J17" s="17" t="s">
        <v>81</v>
      </c>
      <c r="K17" s="158">
        <v>800</v>
      </c>
      <c r="L17" s="17">
        <v>1.2E-2</v>
      </c>
      <c r="M17" s="17" t="s">
        <v>80</v>
      </c>
      <c r="N17" s="17" t="s">
        <v>88</v>
      </c>
      <c r="O17" s="17">
        <v>89.6</v>
      </c>
      <c r="P17" s="43">
        <v>1.0000000000000009E-3</v>
      </c>
      <c r="Q17" s="43">
        <v>1.0999999999999999E-2</v>
      </c>
      <c r="R17" s="43">
        <v>1.9E-2</v>
      </c>
      <c r="S17" s="43">
        <v>2.4E-2</v>
      </c>
    </row>
    <row r="18" spans="1:19" ht="14.25" customHeight="1">
      <c r="A18" s="159" t="s">
        <v>94</v>
      </c>
      <c r="B18" s="17" t="s">
        <v>89</v>
      </c>
      <c r="C18" s="248" t="s">
        <v>30</v>
      </c>
      <c r="D18" s="109">
        <v>-34.921173467260282</v>
      </c>
      <c r="E18" s="109">
        <v>-8.1653914673574501</v>
      </c>
      <c r="F18" s="17">
        <v>2000</v>
      </c>
      <c r="G18" s="19" t="s">
        <v>90</v>
      </c>
      <c r="H18" s="18" t="s">
        <v>177</v>
      </c>
      <c r="I18" s="17" t="s">
        <v>91</v>
      </c>
      <c r="J18" s="17" t="s">
        <v>81</v>
      </c>
      <c r="K18" s="158">
        <v>800</v>
      </c>
      <c r="L18" s="17">
        <v>1.2E-2</v>
      </c>
      <c r="M18" s="17" t="s">
        <v>80</v>
      </c>
      <c r="N18" s="17" t="s">
        <v>88</v>
      </c>
      <c r="O18" s="17">
        <v>84.5</v>
      </c>
      <c r="P18" s="43">
        <v>8.5999999999999965E-4</v>
      </c>
      <c r="Q18" s="43">
        <v>1.039E-2</v>
      </c>
      <c r="R18" s="43">
        <v>1.585E-2</v>
      </c>
      <c r="S18" s="43">
        <v>1.8890000000000001E-2</v>
      </c>
    </row>
    <row r="19" spans="1:19" ht="14.25" customHeight="1" thickBot="1">
      <c r="A19" s="11" t="s">
        <v>94</v>
      </c>
      <c r="B19" s="21" t="s">
        <v>89</v>
      </c>
      <c r="C19" s="258" t="s">
        <v>181</v>
      </c>
      <c r="D19" s="110">
        <v>-34.888941944577716</v>
      </c>
      <c r="E19" s="110">
        <v>-8.0627624830524081</v>
      </c>
      <c r="F19" s="21">
        <v>2000</v>
      </c>
      <c r="G19" s="22" t="s">
        <v>90</v>
      </c>
      <c r="H19" s="21" t="s">
        <v>177</v>
      </c>
      <c r="I19" s="21" t="s">
        <v>91</v>
      </c>
      <c r="J19" s="21" t="s">
        <v>81</v>
      </c>
      <c r="K19" s="11">
        <v>800</v>
      </c>
      <c r="L19" s="21">
        <v>1.2E-2</v>
      </c>
      <c r="M19" s="21" t="s">
        <v>80</v>
      </c>
      <c r="N19" s="21" t="s">
        <v>88</v>
      </c>
      <c r="O19" s="25">
        <v>90</v>
      </c>
      <c r="P19" s="106">
        <v>9.9999999999999915E-4</v>
      </c>
      <c r="Q19" s="29">
        <v>7.9000000000000008E-3</v>
      </c>
      <c r="R19" s="29">
        <v>1.2999999999999999E-2</v>
      </c>
      <c r="S19" s="29">
        <v>1.6E-2</v>
      </c>
    </row>
    <row r="20" spans="1:19" ht="14.25" customHeight="1">
      <c r="A20" s="159" t="s">
        <v>94</v>
      </c>
      <c r="B20" s="17" t="s">
        <v>89</v>
      </c>
      <c r="C20" s="259" t="s">
        <v>124</v>
      </c>
      <c r="D20" s="261"/>
      <c r="E20" s="262"/>
      <c r="F20" s="17">
        <v>2000</v>
      </c>
      <c r="G20" s="19" t="s">
        <v>90</v>
      </c>
      <c r="H20" s="18" t="s">
        <v>187</v>
      </c>
      <c r="I20" s="17" t="s">
        <v>91</v>
      </c>
      <c r="J20" s="158" t="s">
        <v>92</v>
      </c>
      <c r="K20" s="158">
        <v>640</v>
      </c>
      <c r="L20" s="17">
        <v>0.01</v>
      </c>
      <c r="M20" s="17" t="s">
        <v>80</v>
      </c>
      <c r="N20" s="17" t="s">
        <v>88</v>
      </c>
      <c r="O20" s="50">
        <v>100</v>
      </c>
      <c r="P20" s="105">
        <v>2.9999999999999992E-4</v>
      </c>
      <c r="Q20" s="43">
        <v>2.0999999999999999E-3</v>
      </c>
      <c r="R20" s="43">
        <v>3.8E-3</v>
      </c>
      <c r="S20" s="43">
        <v>4.7000000000000002E-3</v>
      </c>
    </row>
    <row r="21" spans="1:19" ht="14.25" customHeight="1">
      <c r="A21" s="137" t="s">
        <v>8</v>
      </c>
      <c r="B21" s="17" t="s">
        <v>89</v>
      </c>
      <c r="C21" s="251" t="s">
        <v>100</v>
      </c>
      <c r="D21" s="109">
        <v>-50.439226072752582</v>
      </c>
      <c r="E21" s="109">
        <v>-21.205476000000004</v>
      </c>
      <c r="F21" s="17">
        <v>2000</v>
      </c>
      <c r="G21" s="19" t="s">
        <v>90</v>
      </c>
      <c r="H21" s="18" t="s">
        <v>177</v>
      </c>
      <c r="I21" s="17" t="s">
        <v>91</v>
      </c>
      <c r="J21" s="158" t="s">
        <v>92</v>
      </c>
      <c r="K21" s="158">
        <v>800</v>
      </c>
      <c r="L21" s="158">
        <v>0.01</v>
      </c>
      <c r="M21" s="17" t="s">
        <v>80</v>
      </c>
      <c r="N21" s="17" t="s">
        <v>88</v>
      </c>
      <c r="O21" s="17">
        <v>92.3</v>
      </c>
      <c r="P21" s="105">
        <v>4.0000000000000105E-4</v>
      </c>
      <c r="Q21" s="43">
        <v>5.0000000000000001E-3</v>
      </c>
      <c r="R21" s="43">
        <v>8.2000000000000007E-3</v>
      </c>
      <c r="S21" s="43">
        <v>1.01E-2</v>
      </c>
    </row>
    <row r="22" spans="1:19" ht="14.25" customHeight="1">
      <c r="A22" s="137" t="s">
        <v>8</v>
      </c>
      <c r="B22" s="17" t="s">
        <v>89</v>
      </c>
      <c r="C22" s="251" t="s">
        <v>102</v>
      </c>
      <c r="D22" s="109">
        <v>-49.083000867090362</v>
      </c>
      <c r="E22" s="109">
        <v>-22.325122500000006</v>
      </c>
      <c r="F22" s="17">
        <v>2000</v>
      </c>
      <c r="G22" s="19" t="s">
        <v>90</v>
      </c>
      <c r="H22" s="18" t="s">
        <v>177</v>
      </c>
      <c r="I22" s="17" t="s">
        <v>91</v>
      </c>
      <c r="J22" s="158" t="s">
        <v>92</v>
      </c>
      <c r="K22" s="158">
        <v>800</v>
      </c>
      <c r="L22" s="158">
        <v>0.01</v>
      </c>
      <c r="M22" s="17" t="s">
        <v>80</v>
      </c>
      <c r="N22" s="17" t="s">
        <v>88</v>
      </c>
      <c r="O22" s="17">
        <v>93.7</v>
      </c>
      <c r="P22" s="105">
        <v>4.0000000000000018E-4</v>
      </c>
      <c r="Q22" s="43">
        <v>3.8999999999999998E-3</v>
      </c>
      <c r="R22" s="43">
        <v>5.7000000000000002E-3</v>
      </c>
      <c r="S22" s="43">
        <v>6.7000000000000002E-3</v>
      </c>
    </row>
    <row r="23" spans="1:19" ht="14.25" customHeight="1">
      <c r="A23" s="137" t="s">
        <v>8</v>
      </c>
      <c r="B23" s="17" t="s">
        <v>89</v>
      </c>
      <c r="C23" s="251" t="s">
        <v>101</v>
      </c>
      <c r="D23" s="109">
        <v>-48.567377839455055</v>
      </c>
      <c r="E23" s="109">
        <v>-20.558455515000002</v>
      </c>
      <c r="F23" s="17">
        <v>2000</v>
      </c>
      <c r="G23" s="19" t="s">
        <v>90</v>
      </c>
      <c r="H23" s="18" t="s">
        <v>177</v>
      </c>
      <c r="I23" s="17" t="s">
        <v>91</v>
      </c>
      <c r="J23" s="158" t="s">
        <v>92</v>
      </c>
      <c r="K23" s="158">
        <v>800</v>
      </c>
      <c r="L23" s="158">
        <v>0.01</v>
      </c>
      <c r="M23" s="17" t="s">
        <v>80</v>
      </c>
      <c r="N23" s="17" t="s">
        <v>88</v>
      </c>
      <c r="O23" s="17">
        <v>93.8</v>
      </c>
      <c r="P23" s="105">
        <v>2.9999999999999992E-4</v>
      </c>
      <c r="Q23" s="43">
        <v>6.1000000000000004E-3</v>
      </c>
      <c r="R23" s="43">
        <v>9.2999999999999992E-3</v>
      </c>
      <c r="S23" s="43">
        <v>1.0999999999999999E-2</v>
      </c>
    </row>
    <row r="24" spans="1:19" ht="14.25" customHeight="1">
      <c r="A24" s="137" t="s">
        <v>8</v>
      </c>
      <c r="B24" s="17" t="s">
        <v>89</v>
      </c>
      <c r="C24" s="251" t="s">
        <v>104</v>
      </c>
      <c r="D24" s="109">
        <v>-47.06015627297316</v>
      </c>
      <c r="E24" s="109">
        <v>-22.907342500000002</v>
      </c>
      <c r="F24" s="17">
        <v>2000</v>
      </c>
      <c r="G24" s="19" t="s">
        <v>90</v>
      </c>
      <c r="H24" s="18" t="s">
        <v>177</v>
      </c>
      <c r="I24" s="17" t="s">
        <v>91</v>
      </c>
      <c r="J24" s="158" t="s">
        <v>92</v>
      </c>
      <c r="K24" s="158">
        <v>800</v>
      </c>
      <c r="L24" s="158">
        <v>0.01</v>
      </c>
      <c r="M24" s="17" t="s">
        <v>80</v>
      </c>
      <c r="N24" s="17" t="s">
        <v>88</v>
      </c>
      <c r="O24" s="17">
        <v>99.5</v>
      </c>
      <c r="P24" s="105">
        <v>4.0000000000000018E-4</v>
      </c>
      <c r="Q24" s="43">
        <v>3.8999999999999998E-3</v>
      </c>
      <c r="R24" s="43">
        <v>7.1000000000000004E-3</v>
      </c>
      <c r="S24" s="43">
        <v>9.1000000000000004E-3</v>
      </c>
    </row>
    <row r="25" spans="1:19" ht="14.25" customHeight="1">
      <c r="A25" s="137" t="s">
        <v>8</v>
      </c>
      <c r="B25" s="17" t="s">
        <v>89</v>
      </c>
      <c r="C25" s="251" t="s">
        <v>107</v>
      </c>
      <c r="D25" s="109">
        <v>-49.951645643103269</v>
      </c>
      <c r="E25" s="109">
        <v>-22.122743500000002</v>
      </c>
      <c r="F25" s="17">
        <v>2000</v>
      </c>
      <c r="G25" s="19" t="s">
        <v>90</v>
      </c>
      <c r="H25" s="18" t="s">
        <v>177</v>
      </c>
      <c r="I25" s="17" t="s">
        <v>91</v>
      </c>
      <c r="J25" s="158" t="s">
        <v>92</v>
      </c>
      <c r="K25" s="158">
        <v>800</v>
      </c>
      <c r="L25" s="158">
        <v>0.01</v>
      </c>
      <c r="M25" s="17" t="s">
        <v>80</v>
      </c>
      <c r="N25" s="17" t="s">
        <v>88</v>
      </c>
      <c r="O25" s="17">
        <v>100</v>
      </c>
      <c r="P25" s="105">
        <v>4.9999999999999958E-4</v>
      </c>
      <c r="Q25" s="43">
        <v>4.1000000000000003E-3</v>
      </c>
      <c r="R25" s="43">
        <v>6.8999999999999999E-3</v>
      </c>
      <c r="S25" s="43">
        <v>8.5000000000000006E-3</v>
      </c>
    </row>
    <row r="26" spans="1:19" ht="14.25" customHeight="1">
      <c r="A26" s="137" t="s">
        <v>8</v>
      </c>
      <c r="B26" s="17" t="s">
        <v>89</v>
      </c>
      <c r="C26" s="251" t="s">
        <v>108</v>
      </c>
      <c r="D26" s="109">
        <v>-51.386765581912492</v>
      </c>
      <c r="E26" s="109">
        <v>-24.494251427999906</v>
      </c>
      <c r="F26" s="17">
        <v>2000</v>
      </c>
      <c r="G26" s="19" t="s">
        <v>90</v>
      </c>
      <c r="H26" s="18" t="s">
        <v>177</v>
      </c>
      <c r="I26" s="17" t="s">
        <v>91</v>
      </c>
      <c r="J26" s="158" t="s">
        <v>92</v>
      </c>
      <c r="K26" s="158">
        <v>800</v>
      </c>
      <c r="L26" s="158">
        <v>0.01</v>
      </c>
      <c r="M26" s="17" t="s">
        <v>80</v>
      </c>
      <c r="N26" s="17" t="s">
        <v>88</v>
      </c>
      <c r="O26" s="17">
        <v>100</v>
      </c>
      <c r="P26" s="105">
        <v>2.9999999999999992E-4</v>
      </c>
      <c r="Q26" s="4">
        <v>3.8999999999999998E-3</v>
      </c>
      <c r="R26" s="4">
        <v>5.8999999999999999E-3</v>
      </c>
      <c r="S26" s="4">
        <v>7.1000000000000004E-3</v>
      </c>
    </row>
    <row r="27" spans="1:19" ht="14.25" customHeight="1">
      <c r="A27" s="137" t="s">
        <v>8</v>
      </c>
      <c r="B27" s="17" t="s">
        <v>89</v>
      </c>
      <c r="C27" s="251" t="s">
        <v>109</v>
      </c>
      <c r="D27" s="109">
        <v>-47.805475915541528</v>
      </c>
      <c r="E27" s="109">
        <v>-21.184834500000004</v>
      </c>
      <c r="F27" s="17">
        <v>2000</v>
      </c>
      <c r="G27" s="19" t="s">
        <v>90</v>
      </c>
      <c r="H27" s="18" t="s">
        <v>177</v>
      </c>
      <c r="I27" s="17" t="s">
        <v>91</v>
      </c>
      <c r="J27" s="158" t="s">
        <v>92</v>
      </c>
      <c r="K27" s="158">
        <v>800</v>
      </c>
      <c r="L27" s="158">
        <v>0.01</v>
      </c>
      <c r="M27" s="17" t="s">
        <v>80</v>
      </c>
      <c r="N27" s="17" t="s">
        <v>88</v>
      </c>
      <c r="O27" s="17">
        <v>94.1</v>
      </c>
      <c r="P27" s="105">
        <v>7.0000000000000097E-4</v>
      </c>
      <c r="Q27" s="43">
        <v>5.5999999999999999E-3</v>
      </c>
      <c r="R27" s="43">
        <v>0.01</v>
      </c>
      <c r="S27" s="43">
        <v>1.2999999999999999E-2</v>
      </c>
    </row>
    <row r="28" spans="1:19" ht="14.25" customHeight="1">
      <c r="A28" s="137" t="s">
        <v>8</v>
      </c>
      <c r="B28" s="17" t="s">
        <v>89</v>
      </c>
      <c r="C28" s="251" t="s">
        <v>112</v>
      </c>
      <c r="D28" s="109">
        <v>-49.381347685025794</v>
      </c>
      <c r="E28" s="109">
        <v>-20.812636500000004</v>
      </c>
      <c r="F28" s="17">
        <v>2000</v>
      </c>
      <c r="G28" s="19" t="s">
        <v>90</v>
      </c>
      <c r="H28" s="18" t="s">
        <v>177</v>
      </c>
      <c r="I28" s="17" t="s">
        <v>91</v>
      </c>
      <c r="J28" s="158" t="s">
        <v>92</v>
      </c>
      <c r="K28" s="158">
        <v>800</v>
      </c>
      <c r="L28" s="158">
        <v>0.01</v>
      </c>
      <c r="M28" s="17" t="s">
        <v>80</v>
      </c>
      <c r="N28" s="17" t="s">
        <v>88</v>
      </c>
      <c r="O28" s="17">
        <v>96.6</v>
      </c>
      <c r="P28" s="105">
        <v>5.0000000000000044E-4</v>
      </c>
      <c r="Q28" s="43">
        <v>6.0000000000000001E-3</v>
      </c>
      <c r="R28" s="43">
        <v>1.0200000000000001E-2</v>
      </c>
      <c r="S28" s="43">
        <v>1.26E-2</v>
      </c>
    </row>
    <row r="29" spans="1:19" ht="14.25" customHeight="1">
      <c r="A29" s="137" t="s">
        <v>8</v>
      </c>
      <c r="B29" s="17" t="s">
        <v>89</v>
      </c>
      <c r="C29" s="251" t="s">
        <v>110</v>
      </c>
      <c r="D29" s="109">
        <v>-46.331370849190684</v>
      </c>
      <c r="E29" s="109">
        <v>-23.933737500000003</v>
      </c>
      <c r="F29" s="17">
        <v>2000</v>
      </c>
      <c r="G29" s="19" t="s">
        <v>90</v>
      </c>
      <c r="H29" s="18" t="s">
        <v>177</v>
      </c>
      <c r="I29" s="17" t="s">
        <v>91</v>
      </c>
      <c r="J29" s="158" t="s">
        <v>92</v>
      </c>
      <c r="K29" s="158">
        <v>800</v>
      </c>
      <c r="L29" s="158">
        <v>0.01</v>
      </c>
      <c r="M29" s="17" t="s">
        <v>80</v>
      </c>
      <c r="N29" s="17" t="s">
        <v>88</v>
      </c>
      <c r="O29" s="17">
        <v>75.3</v>
      </c>
      <c r="P29" s="105">
        <v>2E-3</v>
      </c>
      <c r="Q29" s="43">
        <v>5.7999999999999996E-3</v>
      </c>
      <c r="R29" s="43">
        <v>1.2E-2</v>
      </c>
      <c r="S29" s="43">
        <v>1.4999999999999999E-2</v>
      </c>
    </row>
    <row r="30" spans="1:19" ht="14.25" customHeight="1">
      <c r="A30" s="270" t="s">
        <v>94</v>
      </c>
      <c r="B30" s="17" t="s">
        <v>89</v>
      </c>
      <c r="C30" s="251" t="s">
        <v>95</v>
      </c>
      <c r="D30" s="109">
        <v>-46.570383182112749</v>
      </c>
      <c r="E30" s="109">
        <v>-23.567386500000001</v>
      </c>
      <c r="F30" s="17">
        <v>2000</v>
      </c>
      <c r="G30" s="19" t="s">
        <v>90</v>
      </c>
      <c r="H30" s="18" t="s">
        <v>177</v>
      </c>
      <c r="I30" s="17" t="s">
        <v>91</v>
      </c>
      <c r="J30" s="158" t="s">
        <v>92</v>
      </c>
      <c r="K30" s="158">
        <v>800</v>
      </c>
      <c r="L30" s="158">
        <v>0.01</v>
      </c>
      <c r="M30" s="17" t="s">
        <v>80</v>
      </c>
      <c r="N30" s="17" t="s">
        <v>88</v>
      </c>
      <c r="O30" s="17">
        <v>94.7</v>
      </c>
      <c r="P30" s="105">
        <v>8.0000000000000036E-4</v>
      </c>
      <c r="Q30" s="43">
        <v>3.7000000000000002E-3</v>
      </c>
      <c r="R30" s="43">
        <v>9.9000000000000008E-3</v>
      </c>
      <c r="S30" s="43">
        <v>1.4999999999999999E-2</v>
      </c>
    </row>
    <row r="31" spans="1:19" ht="14.25" customHeight="1">
      <c r="A31" s="137" t="s">
        <v>8</v>
      </c>
      <c r="B31" s="17" t="s">
        <v>89</v>
      </c>
      <c r="C31" s="12" t="s">
        <v>32</v>
      </c>
      <c r="D31" s="109">
        <v>-37.048212639512251</v>
      </c>
      <c r="E31" s="109">
        <v>-10.9072157978835</v>
      </c>
      <c r="F31" s="17">
        <v>2000</v>
      </c>
      <c r="G31" s="19" t="s">
        <v>90</v>
      </c>
      <c r="H31" s="18" t="s">
        <v>177</v>
      </c>
      <c r="I31" s="17" t="s">
        <v>91</v>
      </c>
      <c r="J31" s="158" t="s">
        <v>92</v>
      </c>
      <c r="K31" s="158">
        <v>800</v>
      </c>
      <c r="L31" s="158">
        <v>0.01</v>
      </c>
      <c r="M31" s="17" t="s">
        <v>80</v>
      </c>
      <c r="N31" s="17" t="s">
        <v>88</v>
      </c>
      <c r="O31" s="17">
        <v>98.7</v>
      </c>
      <c r="P31" s="105">
        <v>1.0000000000000009E-3</v>
      </c>
      <c r="Q31" s="4">
        <v>7.9000000000000008E-3</v>
      </c>
      <c r="R31" s="4">
        <v>1.4E-2</v>
      </c>
      <c r="S31" s="4">
        <v>1.7999999999999999E-2</v>
      </c>
    </row>
    <row r="32" spans="1:19" ht="14.25" customHeight="1">
      <c r="A32" s="137" t="s">
        <v>8</v>
      </c>
      <c r="B32" s="17" t="s">
        <v>89</v>
      </c>
      <c r="C32" s="12" t="s">
        <v>33</v>
      </c>
      <c r="D32" s="109">
        <v>-37.041241549282795</v>
      </c>
      <c r="E32" s="109">
        <v>-10.906799247084251</v>
      </c>
      <c r="F32" s="17">
        <v>2000</v>
      </c>
      <c r="G32" s="19" t="s">
        <v>90</v>
      </c>
      <c r="H32" s="18" t="s">
        <v>177</v>
      </c>
      <c r="I32" s="17" t="s">
        <v>91</v>
      </c>
      <c r="J32" s="158" t="s">
        <v>92</v>
      </c>
      <c r="K32" s="158">
        <v>800</v>
      </c>
      <c r="L32" s="158">
        <v>0.01</v>
      </c>
      <c r="M32" s="17" t="s">
        <v>80</v>
      </c>
      <c r="N32" s="17" t="s">
        <v>88</v>
      </c>
      <c r="O32" s="17">
        <v>100</v>
      </c>
      <c r="P32" s="105">
        <v>8.9999999999999976E-4</v>
      </c>
      <c r="Q32" s="43">
        <v>8.5000000000000006E-3</v>
      </c>
      <c r="R32" s="43">
        <v>1.41E-2</v>
      </c>
      <c r="S32" s="43">
        <v>1.7399999999999999E-2</v>
      </c>
    </row>
    <row r="33" spans="1:19" ht="14.25" customHeight="1">
      <c r="A33" s="137" t="s">
        <v>8</v>
      </c>
      <c r="B33" s="17" t="s">
        <v>89</v>
      </c>
      <c r="C33" s="12" t="s">
        <v>34</v>
      </c>
      <c r="D33" s="109">
        <v>-37.426860940332439</v>
      </c>
      <c r="E33" s="109">
        <v>-10.6857160383187</v>
      </c>
      <c r="F33" s="17">
        <v>2000</v>
      </c>
      <c r="G33" s="19" t="s">
        <v>90</v>
      </c>
      <c r="H33" s="18" t="s">
        <v>177</v>
      </c>
      <c r="I33" s="17" t="s">
        <v>91</v>
      </c>
      <c r="J33" s="158" t="s">
        <v>92</v>
      </c>
      <c r="K33" s="158">
        <v>800</v>
      </c>
      <c r="L33" s="158">
        <v>0.01</v>
      </c>
      <c r="M33" s="17" t="s">
        <v>80</v>
      </c>
      <c r="N33" s="17" t="s">
        <v>88</v>
      </c>
      <c r="O33" s="17">
        <v>97.6</v>
      </c>
      <c r="P33" s="105">
        <v>9.9999999999999915E-4</v>
      </c>
      <c r="Q33" s="43">
        <v>6.0000000000000001E-3</v>
      </c>
      <c r="R33" s="43">
        <v>1.0999999999999999E-2</v>
      </c>
      <c r="S33" s="43">
        <v>1.4999999999999999E-2</v>
      </c>
    </row>
    <row r="34" spans="1:19" ht="14.25" customHeight="1">
      <c r="A34" s="137" t="s">
        <v>8</v>
      </c>
      <c r="B34" s="17" t="s">
        <v>89</v>
      </c>
      <c r="C34" s="12" t="s">
        <v>35</v>
      </c>
      <c r="D34" s="109">
        <v>-36.657296506287189</v>
      </c>
      <c r="E34" s="109">
        <v>-9.7559070107047017</v>
      </c>
      <c r="F34" s="17">
        <v>2000</v>
      </c>
      <c r="G34" s="19" t="s">
        <v>90</v>
      </c>
      <c r="H34" s="18" t="s">
        <v>177</v>
      </c>
      <c r="I34" s="17" t="s">
        <v>91</v>
      </c>
      <c r="J34" s="158" t="s">
        <v>92</v>
      </c>
      <c r="K34" s="158">
        <v>800</v>
      </c>
      <c r="L34" s="158">
        <v>0.01</v>
      </c>
      <c r="M34" s="17" t="s">
        <v>80</v>
      </c>
      <c r="N34" s="17" t="s">
        <v>88</v>
      </c>
      <c r="O34" s="17">
        <v>97.4</v>
      </c>
      <c r="P34" s="105">
        <v>1.0000000000000009E-3</v>
      </c>
      <c r="Q34" s="43">
        <v>6.4999999999999997E-3</v>
      </c>
      <c r="R34" s="43">
        <v>1.4200000000000001E-2</v>
      </c>
      <c r="S34" s="43">
        <v>1.9599999999999999E-2</v>
      </c>
    </row>
    <row r="35" spans="1:19" ht="14.25" customHeight="1">
      <c r="A35" s="137" t="s">
        <v>8</v>
      </c>
      <c r="B35" s="17" t="s">
        <v>89</v>
      </c>
      <c r="C35" s="12" t="s">
        <v>36</v>
      </c>
      <c r="D35" s="109">
        <v>-35.701629913489491</v>
      </c>
      <c r="E35" s="109">
        <v>-9.660822151631141</v>
      </c>
      <c r="F35" s="17">
        <v>2000</v>
      </c>
      <c r="G35" s="19" t="s">
        <v>90</v>
      </c>
      <c r="H35" s="18" t="s">
        <v>177</v>
      </c>
      <c r="I35" s="17" t="s">
        <v>91</v>
      </c>
      <c r="J35" s="158" t="s">
        <v>92</v>
      </c>
      <c r="K35" s="158">
        <v>800</v>
      </c>
      <c r="L35" s="158">
        <v>0.01</v>
      </c>
      <c r="M35" s="17" t="s">
        <v>80</v>
      </c>
      <c r="N35" s="17" t="s">
        <v>88</v>
      </c>
      <c r="O35" s="28">
        <v>99</v>
      </c>
      <c r="P35" s="105">
        <v>9.9999999999999915E-4</v>
      </c>
      <c r="Q35" s="43">
        <v>4.5999999999999999E-3</v>
      </c>
      <c r="R35" s="43">
        <v>8.9999999999999993E-3</v>
      </c>
      <c r="S35" s="43">
        <v>1.2E-2</v>
      </c>
    </row>
    <row r="36" spans="1:19" ht="14.25" customHeight="1">
      <c r="A36" s="137" t="s">
        <v>8</v>
      </c>
      <c r="B36" s="17" t="s">
        <v>89</v>
      </c>
      <c r="C36" s="248" t="s">
        <v>30</v>
      </c>
      <c r="D36" s="109">
        <v>-34.921173467260282</v>
      </c>
      <c r="E36" s="109">
        <v>-8.1653914673574501</v>
      </c>
      <c r="F36" s="17">
        <v>2000</v>
      </c>
      <c r="G36" s="19" t="s">
        <v>90</v>
      </c>
      <c r="H36" s="18" t="s">
        <v>177</v>
      </c>
      <c r="I36" s="17" t="s">
        <v>91</v>
      </c>
      <c r="J36" s="158" t="s">
        <v>92</v>
      </c>
      <c r="K36" s="158">
        <v>800</v>
      </c>
      <c r="L36" s="158">
        <v>0.01</v>
      </c>
      <c r="M36" s="17" t="s">
        <v>80</v>
      </c>
      <c r="N36" s="17" t="s">
        <v>88</v>
      </c>
      <c r="O36" s="17">
        <v>98.7</v>
      </c>
      <c r="P36" s="105">
        <v>9.9999999999999915E-4</v>
      </c>
      <c r="Q36" s="43">
        <v>6.4999999999999997E-3</v>
      </c>
      <c r="R36" s="43">
        <v>1.0999999999999999E-2</v>
      </c>
      <c r="S36" s="43">
        <v>1.2999999999999999E-2</v>
      </c>
    </row>
    <row r="37" spans="1:19" ht="14.25" customHeight="1" thickBot="1">
      <c r="A37" s="145" t="s">
        <v>8</v>
      </c>
      <c r="B37" s="21" t="s">
        <v>89</v>
      </c>
      <c r="C37" s="258" t="s">
        <v>181</v>
      </c>
      <c r="D37" s="110">
        <v>-34.888941944577716</v>
      </c>
      <c r="E37" s="110">
        <v>-8.0627624830524081</v>
      </c>
      <c r="F37" s="21">
        <v>2000</v>
      </c>
      <c r="G37" s="22" t="s">
        <v>90</v>
      </c>
      <c r="H37" s="21" t="s">
        <v>177</v>
      </c>
      <c r="I37" s="21" t="s">
        <v>91</v>
      </c>
      <c r="J37" s="11" t="s">
        <v>92</v>
      </c>
      <c r="K37" s="11">
        <v>800</v>
      </c>
      <c r="L37" s="11">
        <v>0.01</v>
      </c>
      <c r="M37" s="21" t="s">
        <v>80</v>
      </c>
      <c r="N37" s="21" t="s">
        <v>88</v>
      </c>
      <c r="O37" s="25">
        <v>97</v>
      </c>
      <c r="P37" s="106">
        <v>1.0000000000000009E-3</v>
      </c>
      <c r="Q37" s="29">
        <v>7.4999999999999997E-3</v>
      </c>
      <c r="R37" s="29">
        <v>1.7000000000000001E-2</v>
      </c>
      <c r="S37" s="29">
        <v>2.3E-2</v>
      </c>
    </row>
    <row r="38" spans="1:19" ht="14.25" customHeight="1">
      <c r="A38" s="159" t="s">
        <v>94</v>
      </c>
      <c r="B38" s="17" t="s">
        <v>89</v>
      </c>
      <c r="C38" s="259" t="s">
        <v>124</v>
      </c>
      <c r="D38" s="261"/>
      <c r="E38" s="262"/>
      <c r="F38" s="17">
        <v>2000</v>
      </c>
      <c r="G38" s="19" t="s">
        <v>90</v>
      </c>
      <c r="H38" s="18" t="s">
        <v>187</v>
      </c>
      <c r="I38" s="17" t="s">
        <v>91</v>
      </c>
      <c r="J38" s="158" t="s">
        <v>93</v>
      </c>
      <c r="K38" s="158">
        <v>640</v>
      </c>
      <c r="L38" s="158">
        <v>0.2</v>
      </c>
      <c r="M38" s="17" t="s">
        <v>80</v>
      </c>
      <c r="N38" s="17" t="s">
        <v>88</v>
      </c>
      <c r="O38" s="5">
        <v>100</v>
      </c>
      <c r="P38" s="105">
        <v>3.0000000000000027E-3</v>
      </c>
      <c r="Q38" s="43">
        <v>0.04</v>
      </c>
      <c r="R38" s="43">
        <v>6.9000000000000006E-2</v>
      </c>
      <c r="S38" s="43">
        <v>8.5999999999999993E-2</v>
      </c>
    </row>
    <row r="39" spans="1:19" ht="14.25" customHeight="1">
      <c r="A39" s="159" t="s">
        <v>94</v>
      </c>
      <c r="B39" s="17" t="s">
        <v>89</v>
      </c>
      <c r="C39" s="251" t="s">
        <v>100</v>
      </c>
      <c r="D39" s="109">
        <v>-50.439226072752582</v>
      </c>
      <c r="E39" s="109">
        <v>-21.205476000000004</v>
      </c>
      <c r="F39" s="17">
        <v>2000</v>
      </c>
      <c r="G39" s="19" t="s">
        <v>90</v>
      </c>
      <c r="H39" s="18" t="s">
        <v>177</v>
      </c>
      <c r="I39" s="17" t="s">
        <v>91</v>
      </c>
      <c r="J39" s="158" t="s">
        <v>93</v>
      </c>
      <c r="K39" s="158">
        <v>800</v>
      </c>
      <c r="L39" s="158">
        <v>0.2</v>
      </c>
      <c r="M39" s="17" t="s">
        <v>80</v>
      </c>
      <c r="N39" s="17" t="s">
        <v>88</v>
      </c>
      <c r="O39" s="17">
        <v>96.4</v>
      </c>
      <c r="P39" s="105">
        <v>1.1899999999999994E-2</v>
      </c>
      <c r="Q39" s="43">
        <v>9.3799999999999994E-2</v>
      </c>
      <c r="R39" s="43">
        <v>0.19339999999999999</v>
      </c>
      <c r="S39" s="43">
        <v>0.26100000000000001</v>
      </c>
    </row>
    <row r="40" spans="1:19" ht="14.25" customHeight="1">
      <c r="A40" s="159" t="s">
        <v>94</v>
      </c>
      <c r="B40" s="17" t="s">
        <v>89</v>
      </c>
      <c r="C40" s="251" t="s">
        <v>102</v>
      </c>
      <c r="D40" s="109">
        <v>-49.083000867090362</v>
      </c>
      <c r="E40" s="109">
        <v>-22.325122500000006</v>
      </c>
      <c r="F40" s="17">
        <v>2000</v>
      </c>
      <c r="G40" s="19" t="s">
        <v>90</v>
      </c>
      <c r="H40" s="18" t="s">
        <v>177</v>
      </c>
      <c r="I40" s="17" t="s">
        <v>91</v>
      </c>
      <c r="J40" s="158" t="s">
        <v>93</v>
      </c>
      <c r="K40" s="158">
        <v>800</v>
      </c>
      <c r="L40" s="158">
        <v>0.2</v>
      </c>
      <c r="M40" s="17" t="s">
        <v>80</v>
      </c>
      <c r="N40" s="17" t="s">
        <v>88</v>
      </c>
      <c r="O40" s="17">
        <v>98.8</v>
      </c>
      <c r="P40" s="105">
        <v>1.1599999999999999E-2</v>
      </c>
      <c r="Q40" s="43">
        <v>8.2799999999999999E-2</v>
      </c>
      <c r="R40" s="43">
        <v>0.1595</v>
      </c>
      <c r="S40" s="43">
        <v>0.2092</v>
      </c>
    </row>
    <row r="41" spans="1:19" ht="14.25" customHeight="1">
      <c r="A41" s="159" t="s">
        <v>94</v>
      </c>
      <c r="B41" s="17" t="s">
        <v>89</v>
      </c>
      <c r="C41" s="251" t="s">
        <v>101</v>
      </c>
      <c r="D41" s="109">
        <v>-48.567377839455055</v>
      </c>
      <c r="E41" s="109">
        <v>-20.558455515000002</v>
      </c>
      <c r="F41" s="17">
        <v>2000</v>
      </c>
      <c r="G41" s="19" t="s">
        <v>90</v>
      </c>
      <c r="H41" s="18" t="s">
        <v>177</v>
      </c>
      <c r="I41" s="17" t="s">
        <v>91</v>
      </c>
      <c r="J41" s="158" t="s">
        <v>93</v>
      </c>
      <c r="K41" s="158">
        <v>800</v>
      </c>
      <c r="L41" s="158">
        <v>0.2</v>
      </c>
      <c r="M41" s="17" t="s">
        <v>80</v>
      </c>
      <c r="N41" s="17" t="s">
        <v>88</v>
      </c>
      <c r="O41" s="17">
        <v>98.5</v>
      </c>
      <c r="P41" s="105">
        <v>1.3100000000000001E-2</v>
      </c>
      <c r="Q41" s="43">
        <v>0.105</v>
      </c>
      <c r="R41" s="43">
        <v>0.18759999999999999</v>
      </c>
      <c r="S41" s="43">
        <v>0.23860000000000001</v>
      </c>
    </row>
    <row r="42" spans="1:19" ht="14.25" customHeight="1">
      <c r="A42" s="159" t="s">
        <v>94</v>
      </c>
      <c r="B42" s="17" t="s">
        <v>89</v>
      </c>
      <c r="C42" s="251" t="s">
        <v>104</v>
      </c>
      <c r="D42" s="109">
        <v>-47.06015627297316</v>
      </c>
      <c r="E42" s="109">
        <v>-22.907342500000002</v>
      </c>
      <c r="F42" s="17">
        <v>2000</v>
      </c>
      <c r="G42" s="19" t="s">
        <v>90</v>
      </c>
      <c r="H42" s="18" t="s">
        <v>177</v>
      </c>
      <c r="I42" s="17" t="s">
        <v>91</v>
      </c>
      <c r="J42" s="158" t="s">
        <v>93</v>
      </c>
      <c r="K42" s="158">
        <v>800</v>
      </c>
      <c r="L42" s="158">
        <v>0.2</v>
      </c>
      <c r="M42" s="17" t="s">
        <v>80</v>
      </c>
      <c r="N42" s="17" t="s">
        <v>88</v>
      </c>
      <c r="O42" s="17">
        <v>99.3</v>
      </c>
      <c r="P42" s="105">
        <v>6.9000000000000172E-3</v>
      </c>
      <c r="Q42" s="43">
        <v>8.77E-2</v>
      </c>
      <c r="R42" s="43">
        <v>0.1426</v>
      </c>
      <c r="S42" s="43">
        <v>0.17449999999999999</v>
      </c>
    </row>
    <row r="43" spans="1:19" ht="14.25" customHeight="1">
      <c r="A43" s="159" t="s">
        <v>94</v>
      </c>
      <c r="B43" s="17" t="s">
        <v>89</v>
      </c>
      <c r="C43" s="251" t="s">
        <v>107</v>
      </c>
      <c r="D43" s="109">
        <v>-49.951645643103269</v>
      </c>
      <c r="E43" s="109">
        <v>-22.122743500000002</v>
      </c>
      <c r="F43" s="17">
        <v>2000</v>
      </c>
      <c r="G43" s="19" t="s">
        <v>90</v>
      </c>
      <c r="H43" s="18" t="s">
        <v>177</v>
      </c>
      <c r="I43" s="17" t="s">
        <v>91</v>
      </c>
      <c r="J43" s="158" t="s">
        <v>93</v>
      </c>
      <c r="K43" s="158">
        <v>800</v>
      </c>
      <c r="L43" s="158">
        <v>0.2</v>
      </c>
      <c r="M43" s="17" t="s">
        <v>80</v>
      </c>
      <c r="N43" s="17" t="s">
        <v>88</v>
      </c>
      <c r="O43" s="17">
        <v>99.8</v>
      </c>
      <c r="P43" s="105">
        <v>1.5100000000000002E-2</v>
      </c>
      <c r="Q43" s="43">
        <v>9.0300000000000005E-2</v>
      </c>
      <c r="R43" s="43">
        <v>0.18590000000000001</v>
      </c>
      <c r="S43" s="43">
        <v>0.25069999999999998</v>
      </c>
    </row>
    <row r="44" spans="1:19" ht="14.25" customHeight="1">
      <c r="A44" s="159" t="s">
        <v>94</v>
      </c>
      <c r="B44" s="17" t="s">
        <v>89</v>
      </c>
      <c r="C44" s="251" t="s">
        <v>108</v>
      </c>
      <c r="D44" s="109">
        <v>-51.386765581912492</v>
      </c>
      <c r="E44" s="109">
        <v>-24.494251427999906</v>
      </c>
      <c r="F44" s="17">
        <v>2000</v>
      </c>
      <c r="G44" s="19" t="s">
        <v>90</v>
      </c>
      <c r="H44" s="18" t="s">
        <v>177</v>
      </c>
      <c r="I44" s="17" t="s">
        <v>91</v>
      </c>
      <c r="J44" s="158" t="s">
        <v>93</v>
      </c>
      <c r="K44" s="158">
        <v>800</v>
      </c>
      <c r="L44" s="158">
        <v>0.2</v>
      </c>
      <c r="M44" s="17" t="s">
        <v>80</v>
      </c>
      <c r="N44" s="17" t="s">
        <v>88</v>
      </c>
      <c r="O44" s="17">
        <v>100</v>
      </c>
      <c r="P44" s="105">
        <v>6.5000000000000058E-3</v>
      </c>
      <c r="Q44" s="4">
        <v>7.3999999999999996E-2</v>
      </c>
      <c r="R44" s="4">
        <v>0.1208</v>
      </c>
      <c r="S44" s="4">
        <v>0.1479</v>
      </c>
    </row>
    <row r="45" spans="1:19" ht="14.25" customHeight="1">
      <c r="A45" s="159" t="s">
        <v>94</v>
      </c>
      <c r="B45" s="17" t="s">
        <v>89</v>
      </c>
      <c r="C45" s="251" t="s">
        <v>109</v>
      </c>
      <c r="D45" s="109">
        <v>-47.805475915541528</v>
      </c>
      <c r="E45" s="109">
        <v>-21.184834500000004</v>
      </c>
      <c r="F45" s="17">
        <v>2000</v>
      </c>
      <c r="G45" s="19" t="s">
        <v>90</v>
      </c>
      <c r="H45" s="18" t="s">
        <v>177</v>
      </c>
      <c r="I45" s="17" t="s">
        <v>91</v>
      </c>
      <c r="J45" s="158" t="s">
        <v>93</v>
      </c>
      <c r="K45" s="158">
        <v>800</v>
      </c>
      <c r="L45" s="158">
        <v>0.2</v>
      </c>
      <c r="M45" s="17" t="s">
        <v>80</v>
      </c>
      <c r="N45" s="17" t="s">
        <v>88</v>
      </c>
      <c r="O45" s="17">
        <v>98.8</v>
      </c>
      <c r="P45" s="105">
        <v>1.0200000000000015E-2</v>
      </c>
      <c r="Q45" s="43">
        <v>8.4099999999999994E-2</v>
      </c>
      <c r="R45" s="43">
        <v>0.16020000000000001</v>
      </c>
      <c r="S45" s="43">
        <v>0.20930000000000001</v>
      </c>
    </row>
    <row r="46" spans="1:19" ht="14.25" customHeight="1">
      <c r="A46" s="159" t="s">
        <v>94</v>
      </c>
      <c r="B46" s="17" t="s">
        <v>89</v>
      </c>
      <c r="C46" s="251" t="s">
        <v>112</v>
      </c>
      <c r="D46" s="109">
        <v>-49.381347685025794</v>
      </c>
      <c r="E46" s="109">
        <v>-20.812636500000004</v>
      </c>
      <c r="F46" s="17">
        <v>2000</v>
      </c>
      <c r="G46" s="19" t="s">
        <v>90</v>
      </c>
      <c r="H46" s="18" t="s">
        <v>177</v>
      </c>
      <c r="I46" s="17" t="s">
        <v>91</v>
      </c>
      <c r="J46" s="158" t="s">
        <v>93</v>
      </c>
      <c r="K46" s="158">
        <v>800</v>
      </c>
      <c r="L46" s="158">
        <v>0.2</v>
      </c>
      <c r="M46" s="17" t="s">
        <v>80</v>
      </c>
      <c r="N46" s="17" t="s">
        <v>88</v>
      </c>
      <c r="O46" s="17">
        <v>97.4</v>
      </c>
      <c r="P46" s="105">
        <v>1.1300000000000004E-2</v>
      </c>
      <c r="Q46" s="43">
        <v>7.0099999999999996E-2</v>
      </c>
      <c r="R46" s="43">
        <v>0.14649999999999999</v>
      </c>
      <c r="S46" s="43">
        <v>0.19869999999999999</v>
      </c>
    </row>
    <row r="47" spans="1:19" ht="14.25" customHeight="1">
      <c r="A47" s="159" t="s">
        <v>94</v>
      </c>
      <c r="B47" s="17" t="s">
        <v>89</v>
      </c>
      <c r="C47" s="251" t="s">
        <v>110</v>
      </c>
      <c r="D47" s="109">
        <v>-46.331370849190684</v>
      </c>
      <c r="E47" s="109">
        <v>-23.933737500000003</v>
      </c>
      <c r="F47" s="17">
        <v>2000</v>
      </c>
      <c r="G47" s="19" t="s">
        <v>90</v>
      </c>
      <c r="H47" s="18" t="s">
        <v>177</v>
      </c>
      <c r="I47" s="17" t="s">
        <v>91</v>
      </c>
      <c r="J47" s="158" t="s">
        <v>93</v>
      </c>
      <c r="K47" s="158">
        <v>800</v>
      </c>
      <c r="L47" s="158">
        <v>0.2</v>
      </c>
      <c r="M47" s="17" t="s">
        <v>80</v>
      </c>
      <c r="N47" s="17" t="s">
        <v>88</v>
      </c>
      <c r="O47" s="17">
        <v>86.2</v>
      </c>
      <c r="P47" s="105">
        <v>1.3200000000000017E-2</v>
      </c>
      <c r="Q47" s="43">
        <v>0.1046</v>
      </c>
      <c r="R47" s="43">
        <v>0.21940000000000001</v>
      </c>
      <c r="S47" s="43">
        <v>0.29830000000000001</v>
      </c>
    </row>
    <row r="48" spans="1:19" ht="14.25" customHeight="1">
      <c r="A48" s="159" t="s">
        <v>94</v>
      </c>
      <c r="B48" s="17" t="s">
        <v>89</v>
      </c>
      <c r="C48" s="251" t="s">
        <v>95</v>
      </c>
      <c r="D48" s="109">
        <v>-46.570383182112749</v>
      </c>
      <c r="E48" s="109">
        <v>-23.567386500000001</v>
      </c>
      <c r="F48" s="17">
        <v>2000</v>
      </c>
      <c r="G48" s="19" t="s">
        <v>90</v>
      </c>
      <c r="H48" s="18" t="s">
        <v>177</v>
      </c>
      <c r="I48" s="17" t="s">
        <v>91</v>
      </c>
      <c r="J48" s="158" t="s">
        <v>93</v>
      </c>
      <c r="K48" s="158">
        <v>800</v>
      </c>
      <c r="L48" s="158">
        <v>0.2</v>
      </c>
      <c r="M48" s="17" t="s">
        <v>80</v>
      </c>
      <c r="N48" s="17" t="s">
        <v>88</v>
      </c>
      <c r="O48" s="17">
        <v>99.5</v>
      </c>
      <c r="P48" s="105">
        <v>1.5699999999999999E-2</v>
      </c>
      <c r="Q48" s="43">
        <v>9.2200000000000004E-2</v>
      </c>
      <c r="R48" s="43">
        <v>0.2006</v>
      </c>
      <c r="S48" s="43">
        <v>0.27679999999999999</v>
      </c>
    </row>
    <row r="49" spans="1:19" ht="14.25" customHeight="1">
      <c r="A49" s="159" t="s">
        <v>94</v>
      </c>
      <c r="B49" s="17" t="s">
        <v>89</v>
      </c>
      <c r="C49" s="12" t="s">
        <v>32</v>
      </c>
      <c r="D49" s="109">
        <v>-37.048212639512251</v>
      </c>
      <c r="E49" s="109">
        <v>-10.9072157978835</v>
      </c>
      <c r="F49" s="17">
        <v>2000</v>
      </c>
      <c r="G49" s="19" t="s">
        <v>90</v>
      </c>
      <c r="H49" s="18" t="s">
        <v>177</v>
      </c>
      <c r="I49" s="17" t="s">
        <v>91</v>
      </c>
      <c r="J49" s="158" t="s">
        <v>93</v>
      </c>
      <c r="K49" s="158">
        <v>800</v>
      </c>
      <c r="L49" s="158">
        <v>0.2</v>
      </c>
      <c r="M49" s="17" t="s">
        <v>80</v>
      </c>
      <c r="N49" s="17" t="s">
        <v>88</v>
      </c>
      <c r="O49" s="17">
        <v>95.4</v>
      </c>
      <c r="P49" s="105">
        <v>1.6900000000000026E-2</v>
      </c>
      <c r="Q49" s="4">
        <v>0.12620000000000001</v>
      </c>
      <c r="R49" s="4">
        <v>0.25580000000000003</v>
      </c>
      <c r="S49" s="4">
        <v>0.3427</v>
      </c>
    </row>
    <row r="50" spans="1:19" ht="14.25" customHeight="1">
      <c r="A50" s="159" t="s">
        <v>94</v>
      </c>
      <c r="B50" s="17" t="s">
        <v>89</v>
      </c>
      <c r="C50" s="12" t="s">
        <v>33</v>
      </c>
      <c r="D50" s="109">
        <v>-37.041241549282795</v>
      </c>
      <c r="E50" s="109">
        <v>-10.906799247084251</v>
      </c>
      <c r="F50" s="17">
        <v>2000</v>
      </c>
      <c r="G50" s="19" t="s">
        <v>90</v>
      </c>
      <c r="H50" s="18" t="s">
        <v>177</v>
      </c>
      <c r="I50" s="17" t="s">
        <v>91</v>
      </c>
      <c r="J50" s="158" t="s">
        <v>93</v>
      </c>
      <c r="K50" s="158">
        <v>800</v>
      </c>
      <c r="L50" s="158">
        <v>0.2</v>
      </c>
      <c r="M50" s="17" t="s">
        <v>80</v>
      </c>
      <c r="N50" s="17" t="s">
        <v>88</v>
      </c>
      <c r="O50" s="28">
        <v>93</v>
      </c>
      <c r="P50" s="105">
        <v>1.0800000000000004E-2</v>
      </c>
      <c r="Q50" s="43">
        <v>0.1053</v>
      </c>
      <c r="R50" s="43">
        <v>0.19220000000000001</v>
      </c>
      <c r="S50" s="43">
        <v>0.24660000000000001</v>
      </c>
    </row>
    <row r="51" spans="1:19" ht="14.25" customHeight="1">
      <c r="A51" s="159" t="s">
        <v>94</v>
      </c>
      <c r="B51" s="17" t="s">
        <v>89</v>
      </c>
      <c r="C51" s="12" t="s">
        <v>34</v>
      </c>
      <c r="D51" s="109">
        <v>-37.426860940332439</v>
      </c>
      <c r="E51" s="109">
        <v>-10.6857160383187</v>
      </c>
      <c r="F51" s="17">
        <v>2000</v>
      </c>
      <c r="G51" s="19" t="s">
        <v>90</v>
      </c>
      <c r="H51" s="18" t="s">
        <v>177</v>
      </c>
      <c r="I51" s="17" t="s">
        <v>91</v>
      </c>
      <c r="J51" s="158" t="s">
        <v>93</v>
      </c>
      <c r="K51" s="158">
        <v>800</v>
      </c>
      <c r="L51" s="158">
        <v>0.2</v>
      </c>
      <c r="M51" s="17" t="s">
        <v>80</v>
      </c>
      <c r="N51" s="17" t="s">
        <v>88</v>
      </c>
      <c r="O51" s="17">
        <v>80.7</v>
      </c>
      <c r="P51" s="105">
        <v>3.3499999999999974E-2</v>
      </c>
      <c r="Q51" s="43">
        <v>0.16259999999999999</v>
      </c>
      <c r="R51" s="43">
        <v>0.38059999999999999</v>
      </c>
      <c r="S51" s="43">
        <v>0.5413</v>
      </c>
    </row>
    <row r="52" spans="1:19" ht="14.25" customHeight="1">
      <c r="A52" s="159" t="s">
        <v>94</v>
      </c>
      <c r="B52" s="17" t="s">
        <v>89</v>
      </c>
      <c r="C52" s="12" t="s">
        <v>35</v>
      </c>
      <c r="D52" s="109">
        <v>-36.657296506287189</v>
      </c>
      <c r="E52" s="109">
        <v>-9.7559070107047017</v>
      </c>
      <c r="F52" s="17">
        <v>2000</v>
      </c>
      <c r="G52" s="19" t="s">
        <v>90</v>
      </c>
      <c r="H52" s="18" t="s">
        <v>177</v>
      </c>
      <c r="I52" s="17" t="s">
        <v>91</v>
      </c>
      <c r="J52" s="158" t="s">
        <v>93</v>
      </c>
      <c r="K52" s="158">
        <v>800</v>
      </c>
      <c r="L52" s="158">
        <v>0.2</v>
      </c>
      <c r="M52" s="17" t="s">
        <v>80</v>
      </c>
      <c r="N52" s="17" t="s">
        <v>88</v>
      </c>
      <c r="O52" s="28">
        <v>93</v>
      </c>
      <c r="P52" s="105">
        <v>1.9799999999999984E-2</v>
      </c>
      <c r="Q52" s="43">
        <v>9.7100000000000006E-2</v>
      </c>
      <c r="R52" s="43">
        <v>0.2198</v>
      </c>
      <c r="S52" s="43">
        <v>0.30840000000000001</v>
      </c>
    </row>
    <row r="53" spans="1:19" ht="14.25" customHeight="1">
      <c r="A53" s="159" t="s">
        <v>94</v>
      </c>
      <c r="B53" s="17" t="s">
        <v>89</v>
      </c>
      <c r="C53" s="12" t="s">
        <v>36</v>
      </c>
      <c r="D53" s="109">
        <v>-35.701629913489491</v>
      </c>
      <c r="E53" s="109">
        <v>-9.660822151631141</v>
      </c>
      <c r="F53" s="17">
        <v>2000</v>
      </c>
      <c r="G53" s="19" t="s">
        <v>90</v>
      </c>
      <c r="H53" s="18" t="s">
        <v>177</v>
      </c>
      <c r="I53" s="17" t="s">
        <v>91</v>
      </c>
      <c r="J53" s="158" t="s">
        <v>93</v>
      </c>
      <c r="K53" s="158">
        <v>800</v>
      </c>
      <c r="L53" s="158">
        <v>0.2</v>
      </c>
      <c r="M53" s="17" t="s">
        <v>80</v>
      </c>
      <c r="N53" s="17" t="s">
        <v>88</v>
      </c>
      <c r="O53" s="28">
        <v>90.9</v>
      </c>
      <c r="P53" s="105">
        <v>1.9900000000000029E-2</v>
      </c>
      <c r="Q53" s="43">
        <v>0.17150000000000001</v>
      </c>
      <c r="R53" s="43">
        <v>0.30580000000000002</v>
      </c>
      <c r="S53" s="43">
        <v>0.3886</v>
      </c>
    </row>
    <row r="54" spans="1:19" ht="14.25" customHeight="1">
      <c r="A54" s="159" t="s">
        <v>94</v>
      </c>
      <c r="B54" s="17" t="s">
        <v>89</v>
      </c>
      <c r="C54" s="248" t="s">
        <v>30</v>
      </c>
      <c r="D54" s="109">
        <v>-34.921173467260282</v>
      </c>
      <c r="E54" s="109">
        <v>-8.1653914673574501</v>
      </c>
      <c r="F54" s="17">
        <v>2000</v>
      </c>
      <c r="G54" s="19" t="s">
        <v>90</v>
      </c>
      <c r="H54" s="18" t="s">
        <v>177</v>
      </c>
      <c r="I54" s="17" t="s">
        <v>91</v>
      </c>
      <c r="J54" s="158" t="s">
        <v>93</v>
      </c>
      <c r="K54" s="158">
        <v>800</v>
      </c>
      <c r="L54" s="158">
        <v>0.2</v>
      </c>
      <c r="M54" s="17" t="s">
        <v>80</v>
      </c>
      <c r="N54" s="17" t="s">
        <v>88</v>
      </c>
      <c r="O54" s="17">
        <v>85.7</v>
      </c>
      <c r="P54" s="105">
        <v>1.6899999999999998E-2</v>
      </c>
      <c r="Q54" s="43">
        <v>0.1118</v>
      </c>
      <c r="R54" s="43">
        <v>0.22289999999999999</v>
      </c>
      <c r="S54" s="43">
        <v>0.29659999999999997</v>
      </c>
    </row>
    <row r="55" spans="1:19" ht="14.25" customHeight="1" thickBot="1">
      <c r="A55" s="11" t="s">
        <v>94</v>
      </c>
      <c r="B55" s="21" t="s">
        <v>89</v>
      </c>
      <c r="C55" s="258" t="s">
        <v>181</v>
      </c>
      <c r="D55" s="110">
        <v>-34.888941944577716</v>
      </c>
      <c r="E55" s="110">
        <v>-8.0627624830524081</v>
      </c>
      <c r="F55" s="21">
        <v>2000</v>
      </c>
      <c r="G55" s="22" t="s">
        <v>90</v>
      </c>
      <c r="H55" s="21" t="s">
        <v>177</v>
      </c>
      <c r="I55" s="21" t="s">
        <v>91</v>
      </c>
      <c r="J55" s="11" t="s">
        <v>93</v>
      </c>
      <c r="K55" s="11">
        <v>800</v>
      </c>
      <c r="L55" s="11">
        <v>0.2</v>
      </c>
      <c r="M55" s="21" t="s">
        <v>80</v>
      </c>
      <c r="N55" s="21" t="s">
        <v>88</v>
      </c>
      <c r="O55" s="21">
        <v>93.2</v>
      </c>
      <c r="P55" s="106">
        <v>0.10679999999999995</v>
      </c>
      <c r="Q55" s="29">
        <v>0.13589999999999999</v>
      </c>
      <c r="R55" s="29">
        <v>0.52769999999999995</v>
      </c>
      <c r="S55" s="29">
        <v>0.92549999999999999</v>
      </c>
    </row>
    <row r="56" spans="1:19" ht="14.25" customHeight="1">
      <c r="A56" s="159" t="s">
        <v>94</v>
      </c>
      <c r="B56" s="17" t="s">
        <v>89</v>
      </c>
      <c r="C56" s="259" t="s">
        <v>124</v>
      </c>
      <c r="D56" s="261"/>
      <c r="E56" s="262"/>
      <c r="F56" s="17">
        <v>2000</v>
      </c>
      <c r="G56" s="19" t="s">
        <v>90</v>
      </c>
      <c r="H56" s="18" t="s">
        <v>189</v>
      </c>
      <c r="I56" s="17" t="s">
        <v>91</v>
      </c>
      <c r="J56" s="18" t="s">
        <v>20</v>
      </c>
      <c r="K56" s="27">
        <v>400</v>
      </c>
      <c r="L56" s="158">
        <v>18.25</v>
      </c>
      <c r="M56" s="111" t="s">
        <v>50</v>
      </c>
      <c r="N56" s="2" t="s">
        <v>88</v>
      </c>
      <c r="O56" s="24">
        <v>99</v>
      </c>
      <c r="P56" s="112">
        <f>STDEV(100,95,100,100,100)</f>
        <v>2.2360679774997898</v>
      </c>
      <c r="Q56" s="17"/>
    </row>
    <row r="57" spans="1:19" ht="14.25" customHeight="1">
      <c r="A57" s="137" t="s">
        <v>7</v>
      </c>
      <c r="B57" s="17" t="s">
        <v>89</v>
      </c>
      <c r="C57" s="251" t="s">
        <v>100</v>
      </c>
      <c r="D57" s="109">
        <v>-50.439226072752582</v>
      </c>
      <c r="E57" s="109">
        <v>-21.205476000000004</v>
      </c>
      <c r="F57" s="17">
        <v>2000</v>
      </c>
      <c r="G57" s="19" t="s">
        <v>90</v>
      </c>
      <c r="H57" s="17" t="s">
        <v>178</v>
      </c>
      <c r="I57" s="17" t="s">
        <v>91</v>
      </c>
      <c r="J57" s="18" t="s">
        <v>20</v>
      </c>
      <c r="K57" s="158">
        <v>400</v>
      </c>
      <c r="L57" s="18">
        <v>36.5</v>
      </c>
      <c r="M57" s="111" t="s">
        <v>50</v>
      </c>
      <c r="N57" s="18" t="s">
        <v>88</v>
      </c>
      <c r="O57" s="18">
        <v>71.7</v>
      </c>
      <c r="P57" s="112">
        <f>STDEV(64,70.4,76.7,75.7)</f>
        <v>5.8303802048694209</v>
      </c>
      <c r="Q57" s="17"/>
    </row>
    <row r="58" spans="1:19" ht="14.25" customHeight="1">
      <c r="A58" s="159" t="s">
        <v>94</v>
      </c>
      <c r="B58" s="17" t="s">
        <v>89</v>
      </c>
      <c r="C58" s="251" t="s">
        <v>102</v>
      </c>
      <c r="D58" s="109">
        <v>-49.083000867090362</v>
      </c>
      <c r="E58" s="109">
        <v>-22.325122500000006</v>
      </c>
      <c r="F58" s="17">
        <v>2000</v>
      </c>
      <c r="G58" s="19" t="s">
        <v>90</v>
      </c>
      <c r="H58" s="17" t="s">
        <v>178</v>
      </c>
      <c r="I58" s="17" t="s">
        <v>91</v>
      </c>
      <c r="J58" s="18" t="s">
        <v>20</v>
      </c>
      <c r="K58" s="158">
        <v>400</v>
      </c>
      <c r="L58" s="18">
        <v>36.5</v>
      </c>
      <c r="M58" s="111" t="s">
        <v>50</v>
      </c>
      <c r="N58" s="18" t="s">
        <v>88</v>
      </c>
      <c r="O58" s="18">
        <v>71.400000000000006</v>
      </c>
      <c r="P58" s="112">
        <f>STDEV(71,72,81.1)</f>
        <v>5.5650696311905516</v>
      </c>
    </row>
    <row r="59" spans="1:19" ht="14.25" customHeight="1">
      <c r="A59" s="137" t="s">
        <v>7</v>
      </c>
      <c r="B59" s="17" t="s">
        <v>89</v>
      </c>
      <c r="C59" s="251" t="s">
        <v>101</v>
      </c>
      <c r="D59" s="109">
        <v>-48.567377839455055</v>
      </c>
      <c r="E59" s="109">
        <v>-20.558455515000002</v>
      </c>
      <c r="F59" s="17">
        <v>2000</v>
      </c>
      <c r="G59" s="19" t="s">
        <v>90</v>
      </c>
      <c r="H59" s="17" t="s">
        <v>178</v>
      </c>
      <c r="I59" s="17" t="s">
        <v>91</v>
      </c>
      <c r="J59" s="18" t="s">
        <v>20</v>
      </c>
      <c r="K59" s="158">
        <v>400</v>
      </c>
      <c r="L59" s="18">
        <v>36.5</v>
      </c>
      <c r="M59" s="111" t="s">
        <v>50</v>
      </c>
      <c r="N59" s="18" t="s">
        <v>88</v>
      </c>
      <c r="O59" s="18">
        <v>74.7</v>
      </c>
      <c r="P59" s="112">
        <f>STDEV(59.5,80,74.8)</f>
        <v>10.656609842409198</v>
      </c>
      <c r="Q59" s="249"/>
    </row>
    <row r="60" spans="1:19" ht="14.25" customHeight="1">
      <c r="A60" s="159" t="s">
        <v>94</v>
      </c>
      <c r="B60" s="17" t="s">
        <v>89</v>
      </c>
      <c r="C60" s="251" t="s">
        <v>104</v>
      </c>
      <c r="D60" s="109">
        <v>-47.06015627297316</v>
      </c>
      <c r="E60" s="109">
        <v>-22.907342500000002</v>
      </c>
      <c r="F60" s="17">
        <v>2000</v>
      </c>
      <c r="G60" s="19" t="s">
        <v>90</v>
      </c>
      <c r="H60" s="17" t="s">
        <v>178</v>
      </c>
      <c r="I60" s="17" t="s">
        <v>91</v>
      </c>
      <c r="J60" s="18" t="s">
        <v>20</v>
      </c>
      <c r="K60" s="158">
        <v>400</v>
      </c>
      <c r="L60" s="18">
        <v>36.5</v>
      </c>
      <c r="M60" s="111" t="s">
        <v>50</v>
      </c>
      <c r="N60" s="18" t="s">
        <v>88</v>
      </c>
      <c r="O60" s="24">
        <v>88</v>
      </c>
      <c r="P60" s="112">
        <f>STDEV(88,88,88)</f>
        <v>0</v>
      </c>
      <c r="Q60" s="249"/>
    </row>
    <row r="61" spans="1:19" ht="14.25" customHeight="1">
      <c r="A61" s="159" t="s">
        <v>94</v>
      </c>
      <c r="B61" s="17" t="s">
        <v>89</v>
      </c>
      <c r="C61" s="251" t="s">
        <v>107</v>
      </c>
      <c r="D61" s="109">
        <v>-49.951645643103269</v>
      </c>
      <c r="E61" s="109">
        <v>-22.122743500000002</v>
      </c>
      <c r="F61" s="17">
        <v>2000</v>
      </c>
      <c r="G61" s="19" t="s">
        <v>90</v>
      </c>
      <c r="H61" s="17" t="s">
        <v>178</v>
      </c>
      <c r="I61" s="17" t="s">
        <v>91</v>
      </c>
      <c r="J61" s="18" t="s">
        <v>20</v>
      </c>
      <c r="K61" s="158">
        <v>400</v>
      </c>
      <c r="L61" s="18">
        <v>36.5</v>
      </c>
      <c r="M61" s="111" t="s">
        <v>50</v>
      </c>
      <c r="N61" s="18" t="s">
        <v>88</v>
      </c>
      <c r="O61" s="18">
        <v>87.7</v>
      </c>
      <c r="P61" s="112">
        <f>STDEV(86,89.3,82.5,100)</f>
        <v>7.5615254192963643</v>
      </c>
      <c r="Q61" s="249"/>
    </row>
    <row r="62" spans="1:19" ht="14.25" customHeight="1">
      <c r="A62" s="159" t="s">
        <v>94</v>
      </c>
      <c r="B62" s="17" t="s">
        <v>89</v>
      </c>
      <c r="C62" s="251" t="s">
        <v>108</v>
      </c>
      <c r="D62" s="109">
        <v>-51.386765581912492</v>
      </c>
      <c r="E62" s="109">
        <v>-24.494251427999906</v>
      </c>
      <c r="F62" s="17">
        <v>2000</v>
      </c>
      <c r="G62" s="19" t="s">
        <v>90</v>
      </c>
      <c r="H62" s="17" t="s">
        <v>178</v>
      </c>
      <c r="I62" s="17" t="s">
        <v>91</v>
      </c>
      <c r="J62" s="18" t="s">
        <v>20</v>
      </c>
      <c r="K62" s="158">
        <v>400</v>
      </c>
      <c r="L62" s="18">
        <v>36.5</v>
      </c>
      <c r="M62" s="111" t="s">
        <v>50</v>
      </c>
      <c r="N62" s="18" t="s">
        <v>88</v>
      </c>
      <c r="O62" s="18">
        <v>72.8</v>
      </c>
      <c r="P62" s="112">
        <f>STDEV(75.3,92.5,65,65.3,65.9)</f>
        <v>11.822013364905329</v>
      </c>
      <c r="Q62" s="17"/>
    </row>
    <row r="63" spans="1:19" ht="14.25" customHeight="1">
      <c r="A63" s="137" t="s">
        <v>7</v>
      </c>
      <c r="B63" s="17" t="s">
        <v>89</v>
      </c>
      <c r="C63" s="251" t="s">
        <v>109</v>
      </c>
      <c r="D63" s="109">
        <v>-47.805475915541528</v>
      </c>
      <c r="E63" s="109">
        <v>-21.184834500000004</v>
      </c>
      <c r="F63" s="17">
        <v>2000</v>
      </c>
      <c r="G63" s="19" t="s">
        <v>90</v>
      </c>
      <c r="H63" s="17" t="s">
        <v>178</v>
      </c>
      <c r="I63" s="17" t="s">
        <v>91</v>
      </c>
      <c r="J63" s="18" t="s">
        <v>20</v>
      </c>
      <c r="K63" s="158">
        <v>400</v>
      </c>
      <c r="L63" s="18">
        <v>36.5</v>
      </c>
      <c r="M63" s="111" t="s">
        <v>50</v>
      </c>
      <c r="N63" s="18" t="s">
        <v>88</v>
      </c>
      <c r="O63" s="18">
        <v>56.4</v>
      </c>
      <c r="P63" s="112">
        <f>STDEV(53.6,51.5,64)</f>
        <v>6.6935292136012441</v>
      </c>
      <c r="Q63" s="250"/>
    </row>
    <row r="64" spans="1:19" ht="14.25" customHeight="1">
      <c r="A64" s="137" t="s">
        <v>7</v>
      </c>
      <c r="B64" s="17" t="s">
        <v>89</v>
      </c>
      <c r="C64" s="251" t="s">
        <v>112</v>
      </c>
      <c r="D64" s="109">
        <v>-49.381347685025794</v>
      </c>
      <c r="E64" s="109">
        <v>-20.812636500000004</v>
      </c>
      <c r="F64" s="17">
        <v>2000</v>
      </c>
      <c r="G64" s="19" t="s">
        <v>90</v>
      </c>
      <c r="H64" s="17" t="s">
        <v>178</v>
      </c>
      <c r="I64" s="17" t="s">
        <v>91</v>
      </c>
      <c r="J64" s="18" t="s">
        <v>20</v>
      </c>
      <c r="K64" s="158">
        <v>400</v>
      </c>
      <c r="L64" s="18">
        <v>36.5</v>
      </c>
      <c r="M64" s="111" t="s">
        <v>50</v>
      </c>
      <c r="N64" s="18" t="s">
        <v>88</v>
      </c>
      <c r="O64" s="18">
        <v>50.1</v>
      </c>
      <c r="P64" s="112">
        <f>STDEV(49.5,30,64,57)</f>
        <v>14.665009376062464</v>
      </c>
    </row>
    <row r="65" spans="1:20" ht="14.25" customHeight="1">
      <c r="A65" s="137" t="s">
        <v>7</v>
      </c>
      <c r="B65" s="17" t="s">
        <v>89</v>
      </c>
      <c r="C65" s="251" t="s">
        <v>110</v>
      </c>
      <c r="D65" s="109">
        <v>-46.331370849190684</v>
      </c>
      <c r="E65" s="109">
        <v>-23.933737500000003</v>
      </c>
      <c r="F65" s="17">
        <v>2000</v>
      </c>
      <c r="G65" s="19" t="s">
        <v>90</v>
      </c>
      <c r="H65" s="17" t="s">
        <v>179</v>
      </c>
      <c r="I65" s="17" t="s">
        <v>91</v>
      </c>
      <c r="J65" s="18" t="s">
        <v>20</v>
      </c>
      <c r="K65" s="158">
        <v>400</v>
      </c>
      <c r="L65" s="18">
        <v>36.5</v>
      </c>
      <c r="M65" s="111" t="s">
        <v>50</v>
      </c>
      <c r="N65" s="18" t="s">
        <v>88</v>
      </c>
      <c r="O65" s="18">
        <v>42.2</v>
      </c>
      <c r="P65" s="112">
        <f>STDEV(65.6,49.3,26,27,43)</f>
        <v>16.523377378732228</v>
      </c>
      <c r="Q65" s="17"/>
    </row>
    <row r="66" spans="1:20" ht="14.25" customHeight="1">
      <c r="A66" s="159" t="s">
        <v>94</v>
      </c>
      <c r="B66" s="17" t="s">
        <v>89</v>
      </c>
      <c r="C66" s="12" t="s">
        <v>32</v>
      </c>
      <c r="D66" s="109">
        <v>-37.048212639512251</v>
      </c>
      <c r="E66" s="109">
        <v>-10.9072157978835</v>
      </c>
      <c r="F66" s="17">
        <v>2000</v>
      </c>
      <c r="G66" s="19" t="s">
        <v>90</v>
      </c>
      <c r="H66" s="17" t="s">
        <v>178</v>
      </c>
      <c r="I66" s="17" t="s">
        <v>91</v>
      </c>
      <c r="J66" s="18" t="s">
        <v>20</v>
      </c>
      <c r="K66" s="158">
        <v>400</v>
      </c>
      <c r="L66" s="18">
        <v>36.5</v>
      </c>
      <c r="M66" s="111" t="s">
        <v>50</v>
      </c>
      <c r="N66" s="18" t="s">
        <v>88</v>
      </c>
      <c r="O66" s="24">
        <v>80.3</v>
      </c>
      <c r="P66" s="112">
        <f>STDEV(88,77,76)</f>
        <v>6.6583281184794387</v>
      </c>
    </row>
    <row r="67" spans="1:20" ht="14.25" customHeight="1">
      <c r="A67" s="137" t="s">
        <v>8</v>
      </c>
      <c r="B67" s="17" t="s">
        <v>89</v>
      </c>
      <c r="C67" s="12" t="s">
        <v>33</v>
      </c>
      <c r="D67" s="109">
        <v>-37.041241549282795</v>
      </c>
      <c r="E67" s="109">
        <v>-10.906799247084251</v>
      </c>
      <c r="F67" s="17">
        <v>2000</v>
      </c>
      <c r="G67" s="19" t="s">
        <v>90</v>
      </c>
      <c r="H67" s="17" t="s">
        <v>178</v>
      </c>
      <c r="I67" s="17" t="s">
        <v>91</v>
      </c>
      <c r="J67" s="18" t="s">
        <v>20</v>
      </c>
      <c r="K67" s="158">
        <v>400</v>
      </c>
      <c r="L67" s="18">
        <v>36.5</v>
      </c>
      <c r="M67" s="111" t="s">
        <v>50</v>
      </c>
      <c r="N67" s="18" t="s">
        <v>88</v>
      </c>
      <c r="O67" s="24">
        <v>90.4</v>
      </c>
      <c r="P67" s="112">
        <f>STDEV(93,92,86.3)</f>
        <v>3.6143233576053602</v>
      </c>
    </row>
    <row r="68" spans="1:20" ht="14.25" customHeight="1">
      <c r="A68" s="137" t="s">
        <v>8</v>
      </c>
      <c r="B68" s="17" t="s">
        <v>89</v>
      </c>
      <c r="C68" s="12" t="s">
        <v>34</v>
      </c>
      <c r="D68" s="109">
        <v>-37.426860940332439</v>
      </c>
      <c r="E68" s="109">
        <v>-10.6857160383187</v>
      </c>
      <c r="F68" s="17">
        <v>2000</v>
      </c>
      <c r="G68" s="19" t="s">
        <v>90</v>
      </c>
      <c r="H68" s="17" t="s">
        <v>178</v>
      </c>
      <c r="I68" s="17" t="s">
        <v>91</v>
      </c>
      <c r="J68" s="18" t="s">
        <v>20</v>
      </c>
      <c r="K68" s="158">
        <v>400</v>
      </c>
      <c r="L68" s="18">
        <v>36.5</v>
      </c>
      <c r="M68" s="111" t="s">
        <v>50</v>
      </c>
      <c r="N68" s="18" t="s">
        <v>88</v>
      </c>
      <c r="O68" s="24">
        <v>93</v>
      </c>
      <c r="P68" s="112">
        <f>STDEV(94,93.9,91)</f>
        <v>1.7039170558843668</v>
      </c>
    </row>
    <row r="69" spans="1:20" ht="14.25" customHeight="1">
      <c r="A69" s="137" t="s">
        <v>8</v>
      </c>
      <c r="B69" s="17" t="s">
        <v>89</v>
      </c>
      <c r="C69" s="12" t="s">
        <v>35</v>
      </c>
      <c r="D69" s="109">
        <v>-36.657296506287189</v>
      </c>
      <c r="E69" s="109">
        <v>-9.7559070107047017</v>
      </c>
      <c r="F69" s="17">
        <v>2000</v>
      </c>
      <c r="G69" s="19" t="s">
        <v>90</v>
      </c>
      <c r="H69" s="17" t="s">
        <v>178</v>
      </c>
      <c r="I69" s="17" t="s">
        <v>91</v>
      </c>
      <c r="J69" s="18" t="s">
        <v>20</v>
      </c>
      <c r="K69" s="158">
        <v>400</v>
      </c>
      <c r="L69" s="18">
        <v>36.5</v>
      </c>
      <c r="M69" s="111" t="s">
        <v>50</v>
      </c>
      <c r="N69" s="18" t="s">
        <v>88</v>
      </c>
      <c r="O69" s="24">
        <v>97</v>
      </c>
      <c r="P69" s="112">
        <f>STDEV(96,98,96.9)</f>
        <v>1.0016652800890282</v>
      </c>
      <c r="Q69" s="249"/>
    </row>
    <row r="70" spans="1:20" ht="14.25" customHeight="1">
      <c r="A70" s="137" t="s">
        <v>8</v>
      </c>
      <c r="B70" s="17" t="s">
        <v>89</v>
      </c>
      <c r="C70" s="12" t="s">
        <v>36</v>
      </c>
      <c r="D70" s="109">
        <v>-35.701629913489491</v>
      </c>
      <c r="E70" s="109">
        <v>-9.660822151631141</v>
      </c>
      <c r="F70" s="17">
        <v>2000</v>
      </c>
      <c r="G70" s="19" t="s">
        <v>90</v>
      </c>
      <c r="H70" s="17" t="s">
        <v>178</v>
      </c>
      <c r="I70" s="17" t="s">
        <v>91</v>
      </c>
      <c r="J70" s="18" t="s">
        <v>20</v>
      </c>
      <c r="K70" s="158">
        <v>400</v>
      </c>
      <c r="L70" s="18">
        <v>36.5</v>
      </c>
      <c r="M70" s="111" t="s">
        <v>50</v>
      </c>
      <c r="N70" s="18" t="s">
        <v>88</v>
      </c>
      <c r="O70" s="24">
        <v>90</v>
      </c>
      <c r="P70" s="112">
        <f>STDEV(87,91,92)</f>
        <v>2.6457513110645907</v>
      </c>
      <c r="Q70" s="249"/>
    </row>
    <row r="71" spans="1:20" ht="14.25" customHeight="1">
      <c r="A71" s="137" t="s">
        <v>8</v>
      </c>
      <c r="B71" s="17" t="s">
        <v>89</v>
      </c>
      <c r="C71" s="248" t="s">
        <v>30</v>
      </c>
      <c r="D71" s="109">
        <v>-34.921173467260282</v>
      </c>
      <c r="E71" s="109">
        <v>-8.1653914673574501</v>
      </c>
      <c r="F71" s="17">
        <v>2000</v>
      </c>
      <c r="G71" s="19" t="s">
        <v>90</v>
      </c>
      <c r="H71" s="17" t="s">
        <v>178</v>
      </c>
      <c r="I71" s="17" t="s">
        <v>91</v>
      </c>
      <c r="J71" s="18" t="s">
        <v>20</v>
      </c>
      <c r="K71" s="158">
        <v>400</v>
      </c>
      <c r="L71" s="18">
        <v>36.5</v>
      </c>
      <c r="M71" s="111" t="s">
        <v>50</v>
      </c>
      <c r="N71" s="18" t="s">
        <v>88</v>
      </c>
      <c r="O71" s="24">
        <v>76.599999999999994</v>
      </c>
      <c r="P71" s="112">
        <f>STDEV(75,77,77)</f>
        <v>1.1547005383795141</v>
      </c>
      <c r="Q71" s="249"/>
      <c r="T71" s="17"/>
    </row>
    <row r="72" spans="1:20" ht="14.25" customHeight="1" thickBot="1">
      <c r="A72" s="11" t="s">
        <v>94</v>
      </c>
      <c r="B72" s="21" t="s">
        <v>89</v>
      </c>
      <c r="C72" s="258" t="s">
        <v>181</v>
      </c>
      <c r="D72" s="110">
        <v>-34.888941944577716</v>
      </c>
      <c r="E72" s="110">
        <v>-8.0627624830524081</v>
      </c>
      <c r="F72" s="21">
        <v>2000</v>
      </c>
      <c r="G72" s="22" t="s">
        <v>90</v>
      </c>
      <c r="H72" s="21" t="s">
        <v>178</v>
      </c>
      <c r="I72" s="21" t="s">
        <v>91</v>
      </c>
      <c r="J72" s="21" t="s">
        <v>20</v>
      </c>
      <c r="K72" s="11">
        <v>400</v>
      </c>
      <c r="L72" s="21">
        <v>36.5</v>
      </c>
      <c r="M72" s="114" t="s">
        <v>50</v>
      </c>
      <c r="N72" s="21" t="s">
        <v>88</v>
      </c>
      <c r="O72" s="25">
        <v>75.900000000000006</v>
      </c>
      <c r="P72" s="115">
        <f>STDEV(96.9,75.7,73.3,64)</f>
        <v>13.89829126187815</v>
      </c>
      <c r="Q72" s="249"/>
      <c r="T72" s="17"/>
    </row>
    <row r="73" spans="1:20" ht="14.25" customHeight="1">
      <c r="A73" s="137" t="s">
        <v>8</v>
      </c>
      <c r="B73" s="17" t="s">
        <v>89</v>
      </c>
      <c r="C73" s="259" t="s">
        <v>124</v>
      </c>
      <c r="D73" s="261"/>
      <c r="E73" s="262"/>
      <c r="F73" s="17">
        <v>2000</v>
      </c>
      <c r="G73" s="19" t="s">
        <v>90</v>
      </c>
      <c r="H73" s="18" t="s">
        <v>189</v>
      </c>
      <c r="I73" s="17" t="s">
        <v>91</v>
      </c>
      <c r="J73" s="18" t="s">
        <v>93</v>
      </c>
      <c r="K73" s="158">
        <v>400</v>
      </c>
      <c r="L73" s="10">
        <v>146</v>
      </c>
      <c r="M73" s="111" t="s">
        <v>50</v>
      </c>
      <c r="N73" s="2" t="s">
        <v>88</v>
      </c>
      <c r="O73" s="51">
        <v>100</v>
      </c>
      <c r="P73" s="112">
        <f>STDEV(100,98,100,100,99,100)</f>
        <v>0.83666002653407556</v>
      </c>
      <c r="T73" s="17"/>
    </row>
    <row r="74" spans="1:20" ht="14.25" customHeight="1">
      <c r="A74" s="137" t="s">
        <v>8</v>
      </c>
      <c r="B74" s="17" t="s">
        <v>89</v>
      </c>
      <c r="C74" s="251" t="s">
        <v>100</v>
      </c>
      <c r="D74" s="109">
        <v>-50.439226072752582</v>
      </c>
      <c r="E74" s="109">
        <v>-21.205476000000004</v>
      </c>
      <c r="F74" s="17">
        <v>2000</v>
      </c>
      <c r="G74" s="19" t="s">
        <v>90</v>
      </c>
      <c r="H74" s="17" t="s">
        <v>178</v>
      </c>
      <c r="I74" s="17" t="s">
        <v>91</v>
      </c>
      <c r="J74" s="18" t="s">
        <v>93</v>
      </c>
      <c r="K74" s="158">
        <v>400</v>
      </c>
      <c r="L74" s="24">
        <v>292</v>
      </c>
      <c r="M74" s="111" t="s">
        <v>50</v>
      </c>
      <c r="N74" s="18" t="s">
        <v>88</v>
      </c>
      <c r="O74" s="24">
        <v>73</v>
      </c>
      <c r="P74" s="112">
        <f>STDEV(91,64,68.7,67)</f>
        <v>12.370226352011573</v>
      </c>
      <c r="T74" s="17"/>
    </row>
    <row r="75" spans="1:20" ht="14.25" customHeight="1">
      <c r="A75" s="137" t="s">
        <v>8</v>
      </c>
      <c r="B75" s="17" t="s">
        <v>89</v>
      </c>
      <c r="C75" s="251" t="s">
        <v>102</v>
      </c>
      <c r="D75" s="109">
        <v>-49.083000867090362</v>
      </c>
      <c r="E75" s="109">
        <v>-22.325122500000006</v>
      </c>
      <c r="F75" s="17">
        <v>2000</v>
      </c>
      <c r="G75" s="19" t="s">
        <v>90</v>
      </c>
      <c r="H75" s="17" t="s">
        <v>178</v>
      </c>
      <c r="I75" s="17" t="s">
        <v>91</v>
      </c>
      <c r="J75" s="18" t="s">
        <v>93</v>
      </c>
      <c r="K75" s="158">
        <v>400</v>
      </c>
      <c r="L75" s="24">
        <v>292</v>
      </c>
      <c r="M75" s="111" t="s">
        <v>50</v>
      </c>
      <c r="N75" s="18" t="s">
        <v>88</v>
      </c>
      <c r="O75" s="24">
        <v>98.3</v>
      </c>
      <c r="P75" s="112">
        <f>STDEV(100,95,100)</f>
        <v>2.8867513459482339</v>
      </c>
      <c r="T75" s="17"/>
    </row>
    <row r="76" spans="1:20" ht="14.25" customHeight="1">
      <c r="A76" s="137" t="s">
        <v>8</v>
      </c>
      <c r="B76" s="17" t="s">
        <v>89</v>
      </c>
      <c r="C76" s="251" t="s">
        <v>101</v>
      </c>
      <c r="D76" s="109">
        <v>-48.567377839455055</v>
      </c>
      <c r="E76" s="109">
        <v>-20.558455515000002</v>
      </c>
      <c r="F76" s="17">
        <v>2000</v>
      </c>
      <c r="G76" s="19" t="s">
        <v>90</v>
      </c>
      <c r="H76" s="17" t="s">
        <v>178</v>
      </c>
      <c r="I76" s="17" t="s">
        <v>91</v>
      </c>
      <c r="J76" s="18" t="s">
        <v>93</v>
      </c>
      <c r="K76" s="158">
        <v>400</v>
      </c>
      <c r="L76" s="24">
        <v>292</v>
      </c>
      <c r="M76" s="111" t="s">
        <v>50</v>
      </c>
      <c r="N76" s="18" t="s">
        <v>88</v>
      </c>
      <c r="O76" s="51">
        <v>100</v>
      </c>
      <c r="P76" s="112">
        <f>STDEV(100,100,100,100)</f>
        <v>0</v>
      </c>
      <c r="T76" s="17"/>
    </row>
    <row r="77" spans="1:20" ht="14.25" customHeight="1">
      <c r="A77" s="137" t="s">
        <v>8</v>
      </c>
      <c r="B77" s="17" t="s">
        <v>89</v>
      </c>
      <c r="C77" s="251" t="s">
        <v>104</v>
      </c>
      <c r="D77" s="109">
        <v>-47.06015627297316</v>
      </c>
      <c r="E77" s="109">
        <v>-22.907342500000002</v>
      </c>
      <c r="F77" s="17">
        <v>2000</v>
      </c>
      <c r="G77" s="19" t="s">
        <v>90</v>
      </c>
      <c r="H77" s="17" t="s">
        <v>178</v>
      </c>
      <c r="I77" s="17" t="s">
        <v>91</v>
      </c>
      <c r="J77" s="18" t="s">
        <v>93</v>
      </c>
      <c r="K77" s="158">
        <v>400</v>
      </c>
      <c r="L77" s="24">
        <v>292</v>
      </c>
      <c r="M77" s="111" t="s">
        <v>50</v>
      </c>
      <c r="N77" s="18" t="s">
        <v>88</v>
      </c>
      <c r="O77" s="24">
        <v>91.4</v>
      </c>
      <c r="P77" s="112">
        <f>STDEV(58,100,100,100,99)</f>
        <v>18.676188047885983</v>
      </c>
    </row>
    <row r="78" spans="1:20" ht="14.25" customHeight="1">
      <c r="A78" s="137" t="s">
        <v>8</v>
      </c>
      <c r="B78" s="17" t="s">
        <v>89</v>
      </c>
      <c r="C78" s="251" t="s">
        <v>107</v>
      </c>
      <c r="D78" s="109">
        <v>-49.951645643103269</v>
      </c>
      <c r="E78" s="109">
        <v>-22.122743500000002</v>
      </c>
      <c r="F78" s="17">
        <v>2000</v>
      </c>
      <c r="G78" s="19" t="s">
        <v>90</v>
      </c>
      <c r="H78" s="17" t="s">
        <v>178</v>
      </c>
      <c r="I78" s="17" t="s">
        <v>91</v>
      </c>
      <c r="J78" s="18" t="s">
        <v>93</v>
      </c>
      <c r="K78" s="158">
        <v>400</v>
      </c>
      <c r="L78" s="24">
        <v>292</v>
      </c>
      <c r="M78" s="111" t="s">
        <v>50</v>
      </c>
      <c r="N78" s="18" t="s">
        <v>88</v>
      </c>
      <c r="O78" s="24">
        <v>99.7</v>
      </c>
      <c r="P78" s="112">
        <f>STDEV(98.9,100,100)</f>
        <v>0.63508529610883657</v>
      </c>
    </row>
    <row r="79" spans="1:20" ht="14.25" customHeight="1">
      <c r="A79" s="137" t="s">
        <v>8</v>
      </c>
      <c r="B79" s="17" t="s">
        <v>89</v>
      </c>
      <c r="C79" s="251" t="s">
        <v>95</v>
      </c>
      <c r="D79" s="109">
        <v>-46.570383182112749</v>
      </c>
      <c r="E79" s="109">
        <v>-23.567386500000001</v>
      </c>
      <c r="F79" s="17">
        <v>2000</v>
      </c>
      <c r="G79" s="19" t="s">
        <v>90</v>
      </c>
      <c r="H79" s="17" t="s">
        <v>178</v>
      </c>
      <c r="I79" s="17" t="s">
        <v>91</v>
      </c>
      <c r="J79" s="18" t="s">
        <v>93</v>
      </c>
      <c r="K79" s="158">
        <v>400</v>
      </c>
      <c r="L79" s="24">
        <v>292</v>
      </c>
      <c r="M79" s="111" t="s">
        <v>50</v>
      </c>
      <c r="N79" s="18" t="s">
        <v>88</v>
      </c>
      <c r="O79" s="24">
        <v>99.7</v>
      </c>
      <c r="P79" s="112">
        <f>STDEV(79.5,87.8,75,78)</f>
        <v>5.4792791496691535</v>
      </c>
    </row>
    <row r="80" spans="1:20" ht="14.25" customHeight="1">
      <c r="A80" s="137" t="s">
        <v>8</v>
      </c>
      <c r="B80" s="17" t="s">
        <v>89</v>
      </c>
      <c r="C80" s="251" t="s">
        <v>108</v>
      </c>
      <c r="D80" s="127">
        <v>-51.386765581912492</v>
      </c>
      <c r="E80" s="127">
        <v>-24.494251427999906</v>
      </c>
      <c r="F80" s="17">
        <v>2000</v>
      </c>
      <c r="G80" s="19" t="s">
        <v>90</v>
      </c>
      <c r="H80" s="17" t="s">
        <v>178</v>
      </c>
      <c r="I80" s="17" t="s">
        <v>91</v>
      </c>
      <c r="J80" s="18" t="s">
        <v>93</v>
      </c>
      <c r="K80" s="158">
        <v>400</v>
      </c>
      <c r="L80" s="24">
        <v>292</v>
      </c>
      <c r="M80" s="111" t="s">
        <v>50</v>
      </c>
      <c r="N80" s="18" t="s">
        <v>88</v>
      </c>
      <c r="O80" s="51">
        <v>100</v>
      </c>
      <c r="P80" s="112">
        <f>STDEV(100,100,100)</f>
        <v>0</v>
      </c>
    </row>
    <row r="81" spans="1:20" ht="14.25" customHeight="1">
      <c r="A81" s="137" t="s">
        <v>8</v>
      </c>
      <c r="B81" s="17" t="s">
        <v>89</v>
      </c>
      <c r="C81" s="251" t="s">
        <v>109</v>
      </c>
      <c r="D81" s="127">
        <v>-47.805475915541528</v>
      </c>
      <c r="E81" s="127">
        <v>-21.184834500000004</v>
      </c>
      <c r="F81" s="17">
        <v>2000</v>
      </c>
      <c r="G81" s="19" t="s">
        <v>90</v>
      </c>
      <c r="H81" s="17" t="s">
        <v>178</v>
      </c>
      <c r="I81" s="17" t="s">
        <v>91</v>
      </c>
      <c r="J81" s="18" t="s">
        <v>93</v>
      </c>
      <c r="K81" s="158">
        <v>400</v>
      </c>
      <c r="L81" s="24">
        <v>292</v>
      </c>
      <c r="M81" s="111" t="s">
        <v>50</v>
      </c>
      <c r="N81" s="18" t="s">
        <v>88</v>
      </c>
      <c r="O81" s="24">
        <v>83</v>
      </c>
      <c r="P81" s="112">
        <f>STDEV(96,84,81,62,89.8)</f>
        <v>12.847879202420962</v>
      </c>
    </row>
    <row r="82" spans="1:20" ht="14.25" customHeight="1">
      <c r="A82" s="137" t="s">
        <v>8</v>
      </c>
      <c r="B82" s="17" t="s">
        <v>89</v>
      </c>
      <c r="C82" s="251" t="s">
        <v>112</v>
      </c>
      <c r="D82" s="127">
        <v>-49.381347685025794</v>
      </c>
      <c r="E82" s="127">
        <v>-20.812636500000004</v>
      </c>
      <c r="F82" s="17">
        <v>2000</v>
      </c>
      <c r="G82" s="19" t="s">
        <v>90</v>
      </c>
      <c r="H82" s="17" t="s">
        <v>178</v>
      </c>
      <c r="I82" s="17" t="s">
        <v>91</v>
      </c>
      <c r="J82" s="18" t="s">
        <v>93</v>
      </c>
      <c r="K82" s="158">
        <v>400</v>
      </c>
      <c r="L82" s="24">
        <v>292</v>
      </c>
      <c r="M82" s="111" t="s">
        <v>50</v>
      </c>
      <c r="N82" s="18" t="s">
        <v>88</v>
      </c>
      <c r="O82" s="24">
        <v>88</v>
      </c>
      <c r="P82" s="112">
        <f>STDEV(98,81,87,87)</f>
        <v>7.0887234393789127</v>
      </c>
    </row>
    <row r="83" spans="1:20" ht="14.25" customHeight="1">
      <c r="A83" s="137" t="s">
        <v>8</v>
      </c>
      <c r="B83" s="17" t="s">
        <v>89</v>
      </c>
      <c r="C83" s="251" t="s">
        <v>110</v>
      </c>
      <c r="D83" s="127">
        <v>-46.331370849190684</v>
      </c>
      <c r="E83" s="127">
        <v>-23.933737500000003</v>
      </c>
      <c r="F83" s="17">
        <v>2000</v>
      </c>
      <c r="G83" s="19" t="s">
        <v>90</v>
      </c>
      <c r="H83" s="17" t="s">
        <v>179</v>
      </c>
      <c r="I83" s="17" t="s">
        <v>91</v>
      </c>
      <c r="J83" s="17" t="s">
        <v>93</v>
      </c>
      <c r="K83" s="158">
        <v>400</v>
      </c>
      <c r="L83" s="28">
        <v>292</v>
      </c>
      <c r="M83" s="111" t="s">
        <v>50</v>
      </c>
      <c r="N83" s="17" t="s">
        <v>88</v>
      </c>
      <c r="O83" s="28">
        <v>43</v>
      </c>
      <c r="P83" s="113">
        <f>STDEV(71,22.7,17,93,32,20)</f>
        <v>31.689772272243722</v>
      </c>
    </row>
    <row r="84" spans="1:20" ht="14.25" customHeight="1">
      <c r="A84" s="137" t="s">
        <v>8</v>
      </c>
      <c r="B84" s="17" t="s">
        <v>89</v>
      </c>
      <c r="C84" s="12" t="s">
        <v>32</v>
      </c>
      <c r="D84" s="109">
        <v>-37.048212639512251</v>
      </c>
      <c r="E84" s="109">
        <v>-10.9072157978835</v>
      </c>
      <c r="F84" s="17">
        <v>2000</v>
      </c>
      <c r="G84" s="19" t="s">
        <v>90</v>
      </c>
      <c r="H84" s="17" t="s">
        <v>178</v>
      </c>
      <c r="I84" s="17" t="s">
        <v>91</v>
      </c>
      <c r="J84" s="18" t="s">
        <v>93</v>
      </c>
      <c r="K84" s="158">
        <v>400</v>
      </c>
      <c r="L84" s="24">
        <v>292</v>
      </c>
      <c r="M84" s="111" t="s">
        <v>50</v>
      </c>
      <c r="N84" s="18" t="s">
        <v>88</v>
      </c>
      <c r="O84" s="24">
        <v>79.7</v>
      </c>
      <c r="P84" s="112">
        <f>STDEV(74,79,70,96)</f>
        <v>11.4418821295566</v>
      </c>
    </row>
    <row r="85" spans="1:20" ht="14.25" customHeight="1">
      <c r="A85" s="137" t="s">
        <v>8</v>
      </c>
      <c r="B85" s="17" t="s">
        <v>89</v>
      </c>
      <c r="C85" s="12" t="s">
        <v>33</v>
      </c>
      <c r="D85" s="109">
        <v>-37.041241549282795</v>
      </c>
      <c r="E85" s="109">
        <v>-10.906799247084251</v>
      </c>
      <c r="F85" s="17">
        <v>2000</v>
      </c>
      <c r="G85" s="19" t="s">
        <v>90</v>
      </c>
      <c r="H85" s="17" t="s">
        <v>178</v>
      </c>
      <c r="I85" s="17" t="s">
        <v>91</v>
      </c>
      <c r="J85" s="18" t="s">
        <v>93</v>
      </c>
      <c r="K85" s="158">
        <v>400</v>
      </c>
      <c r="L85" s="24">
        <v>292</v>
      </c>
      <c r="M85" s="111" t="s">
        <v>50</v>
      </c>
      <c r="N85" s="18" t="s">
        <v>88</v>
      </c>
      <c r="O85" s="24">
        <v>81.3</v>
      </c>
      <c r="P85" s="112">
        <f>STDEV(78,84,82)</f>
        <v>3.0550504633039925</v>
      </c>
    </row>
    <row r="86" spans="1:20" ht="14.25" customHeight="1">
      <c r="A86" s="137" t="s">
        <v>8</v>
      </c>
      <c r="B86" s="17" t="s">
        <v>89</v>
      </c>
      <c r="C86" s="12" t="s">
        <v>34</v>
      </c>
      <c r="D86" s="109">
        <v>-37.426860940332439</v>
      </c>
      <c r="E86" s="109">
        <v>-10.6857160383187</v>
      </c>
      <c r="F86" s="17">
        <v>2000</v>
      </c>
      <c r="G86" s="19" t="s">
        <v>90</v>
      </c>
      <c r="H86" s="17" t="s">
        <v>178</v>
      </c>
      <c r="I86" s="17" t="s">
        <v>91</v>
      </c>
      <c r="J86" s="18" t="s">
        <v>93</v>
      </c>
      <c r="K86" s="158">
        <v>400</v>
      </c>
      <c r="L86" s="24">
        <v>292</v>
      </c>
      <c r="M86" s="111" t="s">
        <v>50</v>
      </c>
      <c r="N86" s="18" t="s">
        <v>88</v>
      </c>
      <c r="O86" s="24">
        <v>61</v>
      </c>
      <c r="P86" s="112">
        <f>STDEV(61,57,71,55)</f>
        <v>7.1180521680208741</v>
      </c>
    </row>
    <row r="87" spans="1:20" ht="14.25" customHeight="1">
      <c r="A87" s="137" t="s">
        <v>8</v>
      </c>
      <c r="B87" s="17" t="s">
        <v>89</v>
      </c>
      <c r="C87" s="12" t="s">
        <v>35</v>
      </c>
      <c r="D87" s="109">
        <v>-36.657296506287189</v>
      </c>
      <c r="E87" s="109">
        <v>-9.7559070107047017</v>
      </c>
      <c r="F87" s="17">
        <v>2000</v>
      </c>
      <c r="G87" s="19" t="s">
        <v>90</v>
      </c>
      <c r="H87" s="17" t="s">
        <v>178</v>
      </c>
      <c r="I87" s="17" t="s">
        <v>91</v>
      </c>
      <c r="J87" s="18" t="s">
        <v>93</v>
      </c>
      <c r="K87" s="158">
        <v>400</v>
      </c>
      <c r="L87" s="24">
        <v>292</v>
      </c>
      <c r="M87" s="111" t="s">
        <v>50</v>
      </c>
      <c r="N87" s="18" t="s">
        <v>88</v>
      </c>
      <c r="O87" s="24">
        <v>81.7</v>
      </c>
      <c r="P87" s="112">
        <f>STDEV(82.8,96,72.7,75.2)</f>
        <v>10.471349801561752</v>
      </c>
    </row>
    <row r="88" spans="1:20" ht="14.25" customHeight="1">
      <c r="A88" s="137" t="s">
        <v>8</v>
      </c>
      <c r="B88" s="17" t="s">
        <v>89</v>
      </c>
      <c r="C88" s="12" t="s">
        <v>36</v>
      </c>
      <c r="D88" s="109">
        <v>-35.701629913489491</v>
      </c>
      <c r="E88" s="109">
        <v>-9.660822151631141</v>
      </c>
      <c r="F88" s="17">
        <v>2000</v>
      </c>
      <c r="G88" s="19" t="s">
        <v>90</v>
      </c>
      <c r="H88" s="17" t="s">
        <v>178</v>
      </c>
      <c r="I88" s="17" t="s">
        <v>91</v>
      </c>
      <c r="J88" s="18" t="s">
        <v>93</v>
      </c>
      <c r="K88" s="158">
        <v>400</v>
      </c>
      <c r="L88" s="24">
        <v>292</v>
      </c>
      <c r="M88" s="111" t="s">
        <v>50</v>
      </c>
      <c r="N88" s="18" t="s">
        <v>88</v>
      </c>
      <c r="O88" s="24">
        <v>96.3</v>
      </c>
      <c r="P88" s="112">
        <f>STDEV(95,98.9,95)</f>
        <v>2.2516660498398799</v>
      </c>
    </row>
    <row r="89" spans="1:20" ht="14.25" customHeight="1">
      <c r="A89" s="137" t="s">
        <v>8</v>
      </c>
      <c r="B89" s="17" t="s">
        <v>89</v>
      </c>
      <c r="C89" s="248" t="s">
        <v>30</v>
      </c>
      <c r="D89" s="109">
        <v>-34.921173467260282</v>
      </c>
      <c r="E89" s="109">
        <v>-8.1653914673574501</v>
      </c>
      <c r="F89" s="17">
        <v>2000</v>
      </c>
      <c r="G89" s="19" t="s">
        <v>90</v>
      </c>
      <c r="H89" s="17" t="s">
        <v>178</v>
      </c>
      <c r="I89" s="17" t="s">
        <v>91</v>
      </c>
      <c r="J89" s="18" t="s">
        <v>93</v>
      </c>
      <c r="K89" s="158">
        <v>400</v>
      </c>
      <c r="L89" s="24">
        <v>292</v>
      </c>
      <c r="M89" s="111" t="s">
        <v>50</v>
      </c>
      <c r="N89" s="18" t="s">
        <v>88</v>
      </c>
      <c r="O89" s="24">
        <v>87.5</v>
      </c>
      <c r="P89" s="112">
        <f>STDEV(99,63,95,93)</f>
        <v>16.522711641858304</v>
      </c>
    </row>
    <row r="90" spans="1:20" ht="14.25" customHeight="1" thickBot="1">
      <c r="A90" s="145" t="s">
        <v>8</v>
      </c>
      <c r="B90" s="21" t="s">
        <v>89</v>
      </c>
      <c r="C90" s="258" t="s">
        <v>181</v>
      </c>
      <c r="D90" s="110">
        <v>-34.888941944577716</v>
      </c>
      <c r="E90" s="110">
        <v>-8.0627624830524081</v>
      </c>
      <c r="F90" s="21">
        <v>2000</v>
      </c>
      <c r="G90" s="22" t="s">
        <v>90</v>
      </c>
      <c r="H90" s="21" t="s">
        <v>178</v>
      </c>
      <c r="I90" s="21" t="s">
        <v>91</v>
      </c>
      <c r="J90" s="21" t="s">
        <v>93</v>
      </c>
      <c r="K90" s="11">
        <v>400</v>
      </c>
      <c r="L90" s="25">
        <v>292</v>
      </c>
      <c r="M90" s="114" t="s">
        <v>50</v>
      </c>
      <c r="N90" s="21" t="s">
        <v>88</v>
      </c>
      <c r="O90" s="25">
        <v>66.3</v>
      </c>
      <c r="P90" s="115">
        <f>STDEV(62.4,64.9,71.7)</f>
        <v>4.8128300752606004</v>
      </c>
    </row>
    <row r="91" spans="1:20" ht="14.25" customHeight="1">
      <c r="A91" s="137" t="s">
        <v>8</v>
      </c>
      <c r="B91" s="17" t="s">
        <v>89</v>
      </c>
      <c r="C91" s="12" t="s">
        <v>32</v>
      </c>
      <c r="D91" s="109">
        <v>-37.048212639512251</v>
      </c>
      <c r="E91" s="109">
        <v>-10.9072157978835</v>
      </c>
      <c r="F91" s="17">
        <v>2000</v>
      </c>
      <c r="G91" s="19" t="s">
        <v>90</v>
      </c>
      <c r="H91" s="17" t="s">
        <v>178</v>
      </c>
      <c r="I91" s="17" t="s">
        <v>91</v>
      </c>
      <c r="J91" s="18" t="s">
        <v>23</v>
      </c>
      <c r="K91" s="158">
        <v>400</v>
      </c>
      <c r="L91" s="18">
        <v>0.25</v>
      </c>
      <c r="M91" s="18" t="s">
        <v>9</v>
      </c>
      <c r="N91" s="18" t="s">
        <v>88</v>
      </c>
      <c r="O91" s="24">
        <v>95.4</v>
      </c>
      <c r="P91" s="112">
        <f>STDEV(98,99,94,93,93)</f>
        <v>2.8809720581774605</v>
      </c>
      <c r="T91" s="17"/>
    </row>
    <row r="92" spans="1:20" ht="14.25" customHeight="1">
      <c r="A92" s="137" t="s">
        <v>8</v>
      </c>
      <c r="B92" s="17" t="s">
        <v>89</v>
      </c>
      <c r="C92" s="12" t="s">
        <v>33</v>
      </c>
      <c r="D92" s="109">
        <v>-37.041241549282795</v>
      </c>
      <c r="E92" s="109">
        <v>-10.906799247084251</v>
      </c>
      <c r="F92" s="17">
        <v>2000</v>
      </c>
      <c r="G92" s="19" t="s">
        <v>90</v>
      </c>
      <c r="H92" s="17" t="s">
        <v>178</v>
      </c>
      <c r="I92" s="17" t="s">
        <v>91</v>
      </c>
      <c r="J92" s="18" t="s">
        <v>23</v>
      </c>
      <c r="K92" s="158">
        <v>400</v>
      </c>
      <c r="L92" s="17">
        <v>0.25</v>
      </c>
      <c r="M92" s="17" t="s">
        <v>9</v>
      </c>
      <c r="N92" s="18" t="s">
        <v>88</v>
      </c>
      <c r="O92" s="24">
        <v>95.3</v>
      </c>
      <c r="P92" s="112">
        <f>STDEV(98,88,98,97)</f>
        <v>4.8562674281111553</v>
      </c>
      <c r="T92" s="17"/>
    </row>
    <row r="93" spans="1:20" ht="14.25" customHeight="1">
      <c r="A93" s="137" t="s">
        <v>8</v>
      </c>
      <c r="B93" s="17" t="s">
        <v>89</v>
      </c>
      <c r="C93" s="12" t="s">
        <v>34</v>
      </c>
      <c r="D93" s="109">
        <v>-37.426860940332439</v>
      </c>
      <c r="E93" s="109">
        <v>-10.6857160383187</v>
      </c>
      <c r="F93" s="17">
        <v>2000</v>
      </c>
      <c r="G93" s="19" t="s">
        <v>90</v>
      </c>
      <c r="H93" s="17" t="s">
        <v>178</v>
      </c>
      <c r="I93" s="17" t="s">
        <v>91</v>
      </c>
      <c r="J93" s="18" t="s">
        <v>23</v>
      </c>
      <c r="K93" s="158">
        <v>400</v>
      </c>
      <c r="L93" s="17">
        <v>0.25</v>
      </c>
      <c r="M93" s="17" t="s">
        <v>9</v>
      </c>
      <c r="N93" s="18" t="s">
        <v>88</v>
      </c>
      <c r="O93" s="24">
        <v>59.5</v>
      </c>
      <c r="P93" s="112">
        <f>STDEV(37.6,51,61,69,79)</f>
        <v>16.00474929513112</v>
      </c>
      <c r="T93" s="17"/>
    </row>
    <row r="94" spans="1:20" ht="14.25" customHeight="1">
      <c r="A94" s="137" t="s">
        <v>8</v>
      </c>
      <c r="B94" s="17" t="s">
        <v>89</v>
      </c>
      <c r="C94" s="12" t="s">
        <v>35</v>
      </c>
      <c r="D94" s="109">
        <v>-36.657296506287189</v>
      </c>
      <c r="E94" s="109">
        <v>-9.7559070107047017</v>
      </c>
      <c r="F94" s="17">
        <v>2000</v>
      </c>
      <c r="G94" s="19" t="s">
        <v>90</v>
      </c>
      <c r="H94" s="17" t="s">
        <v>178</v>
      </c>
      <c r="I94" s="17" t="s">
        <v>91</v>
      </c>
      <c r="J94" s="18" t="s">
        <v>23</v>
      </c>
      <c r="K94" s="158">
        <v>400</v>
      </c>
      <c r="L94" s="17">
        <v>0.25</v>
      </c>
      <c r="M94" s="17" t="s">
        <v>9</v>
      </c>
      <c r="N94" s="18" t="s">
        <v>88</v>
      </c>
      <c r="O94" s="24">
        <v>94.3</v>
      </c>
      <c r="P94" s="112">
        <f>STDEV(93,95,95)</f>
        <v>1.1547005383795141</v>
      </c>
    </row>
    <row r="95" spans="1:20" ht="14.25" customHeight="1">
      <c r="A95" s="137" t="s">
        <v>8</v>
      </c>
      <c r="B95" s="17" t="s">
        <v>89</v>
      </c>
      <c r="C95" s="12" t="s">
        <v>36</v>
      </c>
      <c r="D95" s="109">
        <v>-35.701629913489491</v>
      </c>
      <c r="E95" s="109">
        <v>-9.660822151631141</v>
      </c>
      <c r="F95" s="17">
        <v>2000</v>
      </c>
      <c r="G95" s="19" t="s">
        <v>90</v>
      </c>
      <c r="H95" s="17" t="s">
        <v>178</v>
      </c>
      <c r="I95" s="17" t="s">
        <v>91</v>
      </c>
      <c r="J95" s="18" t="s">
        <v>23</v>
      </c>
      <c r="K95" s="158">
        <v>400</v>
      </c>
      <c r="L95" s="17">
        <v>0.25</v>
      </c>
      <c r="M95" s="17" t="s">
        <v>9</v>
      </c>
      <c r="N95" s="18" t="s">
        <v>88</v>
      </c>
      <c r="O95" s="24">
        <v>94.3</v>
      </c>
      <c r="P95" s="112">
        <f>STDEV(95,96,92)</f>
        <v>2.0816659994662783</v>
      </c>
    </row>
    <row r="96" spans="1:20" ht="14.25" customHeight="1">
      <c r="A96" s="137" t="s">
        <v>8</v>
      </c>
      <c r="B96" s="17" t="s">
        <v>89</v>
      </c>
      <c r="C96" s="248" t="s">
        <v>30</v>
      </c>
      <c r="D96" s="109">
        <v>-34.921173467260282</v>
      </c>
      <c r="E96" s="109">
        <v>-8.1653914673574501</v>
      </c>
      <c r="F96" s="17">
        <v>2000</v>
      </c>
      <c r="G96" s="19" t="s">
        <v>90</v>
      </c>
      <c r="H96" s="17" t="s">
        <v>178</v>
      </c>
      <c r="I96" s="17" t="s">
        <v>91</v>
      </c>
      <c r="J96" s="18" t="s">
        <v>23</v>
      </c>
      <c r="K96" s="158">
        <v>400</v>
      </c>
      <c r="L96" s="17">
        <v>0.25</v>
      </c>
      <c r="M96" s="17" t="s">
        <v>9</v>
      </c>
      <c r="N96" s="18" t="s">
        <v>88</v>
      </c>
      <c r="O96" s="24">
        <v>99</v>
      </c>
      <c r="P96" s="112">
        <f>STDEV(100,98,98.8)</f>
        <v>1.0066445913689754</v>
      </c>
    </row>
    <row r="97" spans="1:16" ht="14.25" customHeight="1">
      <c r="A97" s="137" t="s">
        <v>8</v>
      </c>
      <c r="B97" s="17" t="s">
        <v>89</v>
      </c>
      <c r="C97" s="12" t="s">
        <v>181</v>
      </c>
      <c r="D97" s="127">
        <v>-34.888941944577716</v>
      </c>
      <c r="E97" s="127">
        <v>-8.0627624830524081</v>
      </c>
      <c r="F97" s="17">
        <v>2000</v>
      </c>
      <c r="G97" s="19" t="s">
        <v>90</v>
      </c>
      <c r="H97" s="17" t="s">
        <v>178</v>
      </c>
      <c r="I97" s="17" t="s">
        <v>91</v>
      </c>
      <c r="J97" s="17" t="s">
        <v>23</v>
      </c>
      <c r="K97" s="158">
        <v>400</v>
      </c>
      <c r="L97" s="17">
        <v>0.25</v>
      </c>
      <c r="M97" s="17" t="s">
        <v>9</v>
      </c>
      <c r="N97" s="18" t="s">
        <v>88</v>
      </c>
      <c r="O97" s="24">
        <v>79</v>
      </c>
      <c r="P97" s="112">
        <f>STDEV(83.2,74.7,79)</f>
        <v>4.2500980380849454</v>
      </c>
    </row>
    <row r="98" spans="1:16" ht="14.25" customHeight="1">
      <c r="A98" s="137" t="s">
        <v>8</v>
      </c>
      <c r="B98" s="17" t="s">
        <v>89</v>
      </c>
      <c r="C98" s="251" t="s">
        <v>100</v>
      </c>
      <c r="D98" s="109">
        <v>-50.439226072752582</v>
      </c>
      <c r="E98" s="109">
        <v>-21.205476000000004</v>
      </c>
      <c r="F98" s="17">
        <v>2000</v>
      </c>
      <c r="G98" s="19" t="s">
        <v>90</v>
      </c>
      <c r="H98" s="17" t="s">
        <v>178</v>
      </c>
      <c r="I98" s="17" t="s">
        <v>91</v>
      </c>
      <c r="J98" s="17" t="s">
        <v>23</v>
      </c>
      <c r="K98" s="158">
        <v>400</v>
      </c>
      <c r="L98" s="17">
        <v>0.25</v>
      </c>
      <c r="M98" s="17" t="s">
        <v>9</v>
      </c>
      <c r="N98" s="18" t="s">
        <v>88</v>
      </c>
      <c r="O98" s="24">
        <v>7.5</v>
      </c>
      <c r="P98" s="112">
        <f>STDEV(12,5.1,5.9,6.9)</f>
        <v>3.1052375110448498</v>
      </c>
    </row>
    <row r="99" spans="1:16" ht="14.25" customHeight="1">
      <c r="A99" s="137" t="s">
        <v>8</v>
      </c>
      <c r="B99" s="17" t="s">
        <v>89</v>
      </c>
      <c r="C99" s="251" t="s">
        <v>102</v>
      </c>
      <c r="D99" s="109">
        <v>-49.083000867090362</v>
      </c>
      <c r="E99" s="109">
        <v>-22.325122500000006</v>
      </c>
      <c r="F99" s="17">
        <v>2000</v>
      </c>
      <c r="G99" s="19" t="s">
        <v>90</v>
      </c>
      <c r="H99" s="17" t="s">
        <v>178</v>
      </c>
      <c r="I99" s="17" t="s">
        <v>91</v>
      </c>
      <c r="J99" s="17" t="s">
        <v>23</v>
      </c>
      <c r="K99" s="158">
        <v>400</v>
      </c>
      <c r="L99" s="17">
        <v>0.25</v>
      </c>
      <c r="M99" s="17" t="s">
        <v>9</v>
      </c>
      <c r="N99" s="18" t="s">
        <v>88</v>
      </c>
      <c r="O99" s="24">
        <v>25.3</v>
      </c>
      <c r="P99" s="112">
        <f>STDEV(24.2,22,26,29)</f>
        <v>2.9597297173897341</v>
      </c>
    </row>
    <row r="100" spans="1:16" ht="14.25" customHeight="1">
      <c r="A100" s="137" t="s">
        <v>8</v>
      </c>
      <c r="B100" s="17" t="s">
        <v>89</v>
      </c>
      <c r="C100" s="251" t="s">
        <v>101</v>
      </c>
      <c r="D100" s="109">
        <v>-48.567377839455055</v>
      </c>
      <c r="E100" s="109">
        <v>-20.558455515000002</v>
      </c>
      <c r="F100" s="17">
        <v>2000</v>
      </c>
      <c r="G100" s="19" t="s">
        <v>90</v>
      </c>
      <c r="H100" s="17" t="s">
        <v>178</v>
      </c>
      <c r="I100" s="17" t="s">
        <v>91</v>
      </c>
      <c r="J100" s="17" t="s">
        <v>23</v>
      </c>
      <c r="K100" s="158">
        <v>400</v>
      </c>
      <c r="L100" s="17">
        <v>0.25</v>
      </c>
      <c r="M100" s="17" t="s">
        <v>9</v>
      </c>
      <c r="N100" s="18" t="s">
        <v>88</v>
      </c>
      <c r="O100" s="24">
        <v>5</v>
      </c>
      <c r="P100" s="112">
        <f>STDEV(1,8,6)</f>
        <v>3.6055512754639891</v>
      </c>
    </row>
    <row r="101" spans="1:16" ht="14.25" customHeight="1">
      <c r="A101" s="137" t="s">
        <v>8</v>
      </c>
      <c r="B101" s="17" t="s">
        <v>89</v>
      </c>
      <c r="C101" s="251" t="s">
        <v>104</v>
      </c>
      <c r="D101" s="109">
        <v>-47.06015627297316</v>
      </c>
      <c r="E101" s="109">
        <v>-22.907342500000002</v>
      </c>
      <c r="F101" s="17">
        <v>2000</v>
      </c>
      <c r="G101" s="19" t="s">
        <v>90</v>
      </c>
      <c r="H101" s="17" t="s">
        <v>178</v>
      </c>
      <c r="I101" s="17" t="s">
        <v>91</v>
      </c>
      <c r="J101" s="17" t="s">
        <v>23</v>
      </c>
      <c r="K101" s="158">
        <v>400</v>
      </c>
      <c r="L101" s="17">
        <v>0.25</v>
      </c>
      <c r="M101" s="17" t="s">
        <v>9</v>
      </c>
      <c r="N101" s="18" t="s">
        <v>88</v>
      </c>
      <c r="O101" s="24">
        <v>26.3</v>
      </c>
      <c r="P101" s="112">
        <f>STDEV(11,41,27)</f>
        <v>15.011106998930268</v>
      </c>
    </row>
    <row r="102" spans="1:16" ht="14.25" customHeight="1">
      <c r="A102" s="137" t="s">
        <v>8</v>
      </c>
      <c r="B102" s="17" t="s">
        <v>89</v>
      </c>
      <c r="C102" s="251" t="s">
        <v>107</v>
      </c>
      <c r="D102" s="109">
        <v>-49.951645643103269</v>
      </c>
      <c r="E102" s="109">
        <v>-22.122743500000002</v>
      </c>
      <c r="F102" s="17">
        <v>2000</v>
      </c>
      <c r="G102" s="19" t="s">
        <v>90</v>
      </c>
      <c r="H102" s="17" t="s">
        <v>178</v>
      </c>
      <c r="I102" s="17" t="s">
        <v>91</v>
      </c>
      <c r="J102" s="17" t="s">
        <v>23</v>
      </c>
      <c r="K102" s="158">
        <v>400</v>
      </c>
      <c r="L102" s="17">
        <v>0.25</v>
      </c>
      <c r="M102" s="17" t="s">
        <v>9</v>
      </c>
      <c r="N102" s="18" t="s">
        <v>88</v>
      </c>
      <c r="O102" s="24">
        <v>41</v>
      </c>
      <c r="P102" s="112">
        <f>STDEV(36,49,47)</f>
        <v>7</v>
      </c>
    </row>
    <row r="103" spans="1:16" ht="14.25" customHeight="1">
      <c r="A103" s="137" t="s">
        <v>8</v>
      </c>
      <c r="B103" s="17" t="s">
        <v>89</v>
      </c>
      <c r="C103" s="251" t="s">
        <v>108</v>
      </c>
      <c r="D103" s="127">
        <v>-51.386765581912492</v>
      </c>
      <c r="E103" s="127">
        <v>-24.494251427999906</v>
      </c>
      <c r="F103" s="17">
        <v>2000</v>
      </c>
      <c r="G103" s="19" t="s">
        <v>90</v>
      </c>
      <c r="H103" s="17" t="s">
        <v>178</v>
      </c>
      <c r="I103" s="17" t="s">
        <v>91</v>
      </c>
      <c r="J103" s="17" t="s">
        <v>23</v>
      </c>
      <c r="K103" s="158">
        <v>400</v>
      </c>
      <c r="L103" s="17">
        <v>0.25</v>
      </c>
      <c r="M103" s="17" t="s">
        <v>9</v>
      </c>
      <c r="N103" s="18" t="s">
        <v>88</v>
      </c>
      <c r="O103" s="24">
        <v>69</v>
      </c>
      <c r="P103" s="112">
        <f>STDEV(70.3,67,70)</f>
        <v>1.8248287590891967</v>
      </c>
    </row>
    <row r="104" spans="1:16" ht="14.25" customHeight="1">
      <c r="A104" s="137" t="s">
        <v>8</v>
      </c>
      <c r="B104" s="17" t="s">
        <v>89</v>
      </c>
      <c r="C104" s="251" t="s">
        <v>109</v>
      </c>
      <c r="D104" s="127">
        <v>-47.805475915541528</v>
      </c>
      <c r="E104" s="127">
        <v>-21.184834500000004</v>
      </c>
      <c r="F104" s="17">
        <v>2000</v>
      </c>
      <c r="G104" s="19" t="s">
        <v>90</v>
      </c>
      <c r="H104" s="17" t="s">
        <v>178</v>
      </c>
      <c r="I104" s="17" t="s">
        <v>91</v>
      </c>
      <c r="J104" s="17" t="s">
        <v>23</v>
      </c>
      <c r="K104" s="158">
        <v>400</v>
      </c>
      <c r="L104" s="17">
        <v>0.25</v>
      </c>
      <c r="M104" s="17" t="s">
        <v>9</v>
      </c>
      <c r="N104" s="18" t="s">
        <v>88</v>
      </c>
      <c r="O104" s="24">
        <v>6.7</v>
      </c>
      <c r="P104" s="112">
        <f>STDEV(8,7,5)</f>
        <v>1.5275252316519452</v>
      </c>
    </row>
    <row r="105" spans="1:16" ht="14.25" customHeight="1">
      <c r="A105" s="137" t="s">
        <v>8</v>
      </c>
      <c r="B105" s="17" t="s">
        <v>89</v>
      </c>
      <c r="C105" s="251" t="s">
        <v>112</v>
      </c>
      <c r="D105" s="127">
        <v>-49.381347685025794</v>
      </c>
      <c r="E105" s="127">
        <v>-20.812636500000004</v>
      </c>
      <c r="F105" s="17">
        <v>2000</v>
      </c>
      <c r="G105" s="19" t="s">
        <v>90</v>
      </c>
      <c r="H105" s="17" t="s">
        <v>178</v>
      </c>
      <c r="I105" s="17" t="s">
        <v>91</v>
      </c>
      <c r="J105" s="17" t="s">
        <v>23</v>
      </c>
      <c r="K105" s="158">
        <v>400</v>
      </c>
      <c r="L105" s="17">
        <v>0.25</v>
      </c>
      <c r="M105" s="17" t="s">
        <v>9</v>
      </c>
      <c r="N105" s="18" t="s">
        <v>88</v>
      </c>
      <c r="O105" s="24">
        <v>10</v>
      </c>
      <c r="P105" s="112">
        <f>STDEV(7,4,18)</f>
        <v>7.3711147958319945</v>
      </c>
    </row>
    <row r="106" spans="1:16" ht="14.25" customHeight="1" thickBot="1">
      <c r="A106" s="145" t="s">
        <v>8</v>
      </c>
      <c r="B106" s="21" t="s">
        <v>89</v>
      </c>
      <c r="C106" s="260" t="s">
        <v>110</v>
      </c>
      <c r="D106" s="110">
        <v>-46.331370849190684</v>
      </c>
      <c r="E106" s="110">
        <v>-23.933737500000003</v>
      </c>
      <c r="F106" s="21">
        <v>2000</v>
      </c>
      <c r="G106" s="22" t="s">
        <v>90</v>
      </c>
      <c r="H106" s="21" t="s">
        <v>179</v>
      </c>
      <c r="I106" s="21" t="s">
        <v>91</v>
      </c>
      <c r="J106" s="21" t="s">
        <v>23</v>
      </c>
      <c r="K106" s="11">
        <v>400</v>
      </c>
      <c r="L106" s="21">
        <v>0.25</v>
      </c>
      <c r="M106" s="21" t="s">
        <v>9</v>
      </c>
      <c r="N106" s="21" t="s">
        <v>88</v>
      </c>
      <c r="O106" s="25">
        <v>12</v>
      </c>
      <c r="P106" s="115">
        <f>STDEV(11,12,15,11)</f>
        <v>1.8929694486000912</v>
      </c>
    </row>
    <row r="108" spans="1:16" ht="14.25" customHeight="1">
      <c r="I108" s="27"/>
      <c r="K108" s="18"/>
    </row>
    <row r="109" spans="1:16" ht="14.25" customHeight="1">
      <c r="K109" s="18"/>
    </row>
    <row r="110" spans="1:16" ht="14.25" customHeight="1">
      <c r="K110" s="18"/>
    </row>
    <row r="111" spans="1:16" ht="14.25" customHeight="1">
      <c r="K111" s="18"/>
    </row>
    <row r="112" spans="1:16" ht="14.25" customHeight="1">
      <c r="K112" s="18"/>
    </row>
    <row r="113" spans="11:11" ht="14.25" customHeight="1">
      <c r="K113" s="18"/>
    </row>
    <row r="114" spans="11:11" ht="14.25" customHeight="1">
      <c r="K114" s="18"/>
    </row>
    <row r="115" spans="11:11" ht="14.25" customHeight="1">
      <c r="K115" s="18"/>
    </row>
    <row r="116" spans="11:11" ht="14.25" customHeight="1">
      <c r="K116" s="18"/>
    </row>
    <row r="117" spans="11:11" ht="14.25" customHeight="1">
      <c r="K117" s="18"/>
    </row>
    <row r="118" spans="11:11" ht="14.25" customHeight="1">
      <c r="K118" s="18"/>
    </row>
    <row r="119" spans="11:11" ht="14.25" customHeight="1">
      <c r="K119" s="18"/>
    </row>
    <row r="120" spans="11:11" ht="14.25" customHeight="1">
      <c r="K120" s="18"/>
    </row>
    <row r="121" spans="11:11" ht="14.25" customHeight="1">
      <c r="K121" s="18"/>
    </row>
    <row r="122" spans="11:11" ht="14.25" customHeight="1">
      <c r="K122" s="18"/>
    </row>
    <row r="123" spans="11:11" ht="14.25" customHeight="1">
      <c r="K123" s="18"/>
    </row>
    <row r="124" spans="11:11" ht="14.25" customHeight="1">
      <c r="K124" s="18"/>
    </row>
    <row r="125" spans="11:11" ht="14.25" customHeight="1">
      <c r="K125" s="18"/>
    </row>
    <row r="126" spans="11:11" ht="14.25" customHeight="1">
      <c r="K126" s="18"/>
    </row>
    <row r="127" spans="11:11" ht="14.25" customHeight="1">
      <c r="K127" s="18"/>
    </row>
    <row r="128" spans="11:11" ht="14.25" customHeight="1">
      <c r="K128" s="18"/>
    </row>
    <row r="129" spans="4:11" ht="14.25" customHeight="1">
      <c r="D129" s="27"/>
      <c r="K129" s="18"/>
    </row>
    <row r="130" spans="4:11" ht="14.25" customHeight="1">
      <c r="D130" s="27"/>
      <c r="K130" s="18"/>
    </row>
    <row r="131" spans="4:11" ht="14.25" customHeight="1">
      <c r="D131" s="27"/>
      <c r="K131" s="18"/>
    </row>
    <row r="132" spans="4:11" ht="14.25" customHeight="1">
      <c r="D132" s="27"/>
      <c r="K132" s="18"/>
    </row>
    <row r="133" spans="4:11" ht="14.25" customHeight="1">
      <c r="D133" s="27"/>
      <c r="K133" s="18"/>
    </row>
    <row r="134" spans="4:11" ht="14.25" customHeight="1">
      <c r="D134" s="27"/>
      <c r="K134" s="18"/>
    </row>
    <row r="135" spans="4:11" ht="14.25" customHeight="1">
      <c r="D135" s="27"/>
      <c r="K135" s="18"/>
    </row>
  </sheetData>
  <phoneticPr fontId="48" type="noConversion"/>
  <conditionalFormatting sqref="D3">
    <cfRule type="cellIs" dxfId="344" priority="43" stopIfTrue="1" operator="between">
      <formula>0</formula>
      <formula>79.9</formula>
    </cfRule>
    <cfRule type="cellIs" dxfId="343" priority="44" stopIfTrue="1" operator="between">
      <formula>80</formula>
      <formula>97.9</formula>
    </cfRule>
    <cfRule type="cellIs" dxfId="342" priority="45" stopIfTrue="1" operator="between">
      <formula>98</formula>
      <formula>100</formula>
    </cfRule>
  </conditionalFormatting>
  <conditionalFormatting sqref="D5">
    <cfRule type="cellIs" dxfId="341" priority="40" stopIfTrue="1" operator="between">
      <formula>0</formula>
      <formula>79.9</formula>
    </cfRule>
    <cfRule type="cellIs" dxfId="340" priority="41" stopIfTrue="1" operator="between">
      <formula>80</formula>
      <formula>97.9</formula>
    </cfRule>
    <cfRule type="cellIs" dxfId="339" priority="42" stopIfTrue="1" operator="between">
      <formula>98</formula>
      <formula>100</formula>
    </cfRule>
  </conditionalFormatting>
  <conditionalFormatting sqref="D21">
    <cfRule type="cellIs" dxfId="338" priority="37" stopIfTrue="1" operator="between">
      <formula>0</formula>
      <formula>79.9</formula>
    </cfRule>
    <cfRule type="cellIs" dxfId="337" priority="38" stopIfTrue="1" operator="between">
      <formula>80</formula>
      <formula>97.9</formula>
    </cfRule>
    <cfRule type="cellIs" dxfId="336" priority="39" stopIfTrue="1" operator="between">
      <formula>98</formula>
      <formula>100</formula>
    </cfRule>
  </conditionalFormatting>
  <conditionalFormatting sqref="D23">
    <cfRule type="cellIs" dxfId="335" priority="34" stopIfTrue="1" operator="between">
      <formula>0</formula>
      <formula>79.9</formula>
    </cfRule>
    <cfRule type="cellIs" dxfId="334" priority="35" stopIfTrue="1" operator="between">
      <formula>80</formula>
      <formula>97.9</formula>
    </cfRule>
    <cfRule type="cellIs" dxfId="333" priority="36" stopIfTrue="1" operator="between">
      <formula>98</formula>
      <formula>100</formula>
    </cfRule>
  </conditionalFormatting>
  <conditionalFormatting sqref="D39">
    <cfRule type="cellIs" dxfId="332" priority="31" stopIfTrue="1" operator="between">
      <formula>0</formula>
      <formula>79.9</formula>
    </cfRule>
    <cfRule type="cellIs" dxfId="331" priority="32" stopIfTrue="1" operator="between">
      <formula>80</formula>
      <formula>97.9</formula>
    </cfRule>
    <cfRule type="cellIs" dxfId="330" priority="33" stopIfTrue="1" operator="between">
      <formula>98</formula>
      <formula>100</formula>
    </cfRule>
  </conditionalFormatting>
  <conditionalFormatting sqref="D41">
    <cfRule type="cellIs" dxfId="329" priority="28" stopIfTrue="1" operator="between">
      <formula>0</formula>
      <formula>79.9</formula>
    </cfRule>
    <cfRule type="cellIs" dxfId="328" priority="29" stopIfTrue="1" operator="between">
      <formula>80</formula>
      <formula>97.9</formula>
    </cfRule>
    <cfRule type="cellIs" dxfId="327" priority="30" stopIfTrue="1" operator="between">
      <formula>98</formula>
      <formula>100</formula>
    </cfRule>
  </conditionalFormatting>
  <conditionalFormatting sqref="D57">
    <cfRule type="cellIs" dxfId="326" priority="25" stopIfTrue="1" operator="between">
      <formula>0</formula>
      <formula>79.9</formula>
    </cfRule>
    <cfRule type="cellIs" dxfId="325" priority="26" stopIfTrue="1" operator="between">
      <formula>80</formula>
      <formula>97.9</formula>
    </cfRule>
    <cfRule type="cellIs" dxfId="324" priority="27" stopIfTrue="1" operator="between">
      <formula>98</formula>
      <formula>100</formula>
    </cfRule>
  </conditionalFormatting>
  <conditionalFormatting sqref="D59">
    <cfRule type="cellIs" dxfId="323" priority="22" stopIfTrue="1" operator="between">
      <formula>0</formula>
      <formula>79.9</formula>
    </cfRule>
    <cfRule type="cellIs" dxfId="322" priority="23" stopIfTrue="1" operator="between">
      <formula>80</formula>
      <formula>97.9</formula>
    </cfRule>
    <cfRule type="cellIs" dxfId="321" priority="24" stopIfTrue="1" operator="between">
      <formula>98</formula>
      <formula>100</formula>
    </cfRule>
  </conditionalFormatting>
  <conditionalFormatting sqref="D74">
    <cfRule type="cellIs" dxfId="320" priority="19" stopIfTrue="1" operator="between">
      <formula>0</formula>
      <formula>79.9</formula>
    </cfRule>
    <cfRule type="cellIs" dxfId="319" priority="20" stopIfTrue="1" operator="between">
      <formula>80</formula>
      <formula>97.9</formula>
    </cfRule>
    <cfRule type="cellIs" dxfId="318" priority="21" stopIfTrue="1" operator="between">
      <formula>98</formula>
      <formula>100</formula>
    </cfRule>
  </conditionalFormatting>
  <conditionalFormatting sqref="D76">
    <cfRule type="cellIs" dxfId="317" priority="16" stopIfTrue="1" operator="between">
      <formula>0</formula>
      <formula>79.9</formula>
    </cfRule>
    <cfRule type="cellIs" dxfId="316" priority="17" stopIfTrue="1" operator="between">
      <formula>80</formula>
      <formula>97.9</formula>
    </cfRule>
    <cfRule type="cellIs" dxfId="315" priority="18" stopIfTrue="1" operator="between">
      <formula>98</formula>
      <formula>100</formula>
    </cfRule>
  </conditionalFormatting>
  <conditionalFormatting sqref="D98">
    <cfRule type="cellIs" dxfId="314" priority="13" stopIfTrue="1" operator="between">
      <formula>0</formula>
      <formula>79.9</formula>
    </cfRule>
    <cfRule type="cellIs" dxfId="313" priority="14" stopIfTrue="1" operator="between">
      <formula>80</formula>
      <formula>97.9</formula>
    </cfRule>
    <cfRule type="cellIs" dxfId="312" priority="15" stopIfTrue="1" operator="between">
      <formula>98</formula>
      <formula>100</formula>
    </cfRule>
  </conditionalFormatting>
  <conditionalFormatting sqref="D100">
    <cfRule type="cellIs" dxfId="311" priority="10" stopIfTrue="1" operator="between">
      <formula>0</formula>
      <formula>79.9</formula>
    </cfRule>
    <cfRule type="cellIs" dxfId="310" priority="11" stopIfTrue="1" operator="between">
      <formula>80</formula>
      <formula>97.9</formula>
    </cfRule>
    <cfRule type="cellIs" dxfId="309" priority="12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V138"/>
  <sheetViews>
    <sheetView topLeftCell="A25" workbookViewId="0">
      <selection activeCell="A35" sqref="A35"/>
    </sheetView>
  </sheetViews>
  <sheetFormatPr baseColWidth="10" defaultColWidth="8.83203125" defaultRowHeight="14.25" customHeight="1"/>
  <cols>
    <col min="1" max="1" width="17.83203125" style="18" bestFit="1" customWidth="1"/>
    <col min="2" max="2" width="7" style="18" bestFit="1" customWidth="1"/>
    <col min="3" max="3" width="19.6640625" style="18" bestFit="1" customWidth="1"/>
    <col min="4" max="4" width="13.1640625" style="18" bestFit="1" customWidth="1"/>
    <col min="5" max="5" width="14.6640625" style="18" bestFit="1" customWidth="1"/>
    <col min="6" max="6" width="12.6640625" style="18" bestFit="1" customWidth="1"/>
    <col min="7" max="7" width="15.5" style="18" bestFit="1" customWidth="1"/>
    <col min="8" max="9" width="17.5" style="18" bestFit="1" customWidth="1"/>
    <col min="10" max="10" width="13.5" style="18" bestFit="1" customWidth="1"/>
    <col min="11" max="11" width="12.1640625" style="18" bestFit="1" customWidth="1"/>
    <col min="12" max="12" width="7.5" style="18" bestFit="1" customWidth="1"/>
    <col min="13" max="13" width="9.33203125" style="18" bestFit="1" customWidth="1"/>
    <col min="14" max="14" width="14.33203125" style="18" bestFit="1" customWidth="1"/>
    <col min="15" max="16" width="14.5" style="18" bestFit="1" customWidth="1"/>
    <col min="17" max="18" width="7.33203125" style="18" bestFit="1" customWidth="1"/>
    <col min="19" max="16384" width="8.83203125" style="18"/>
  </cols>
  <sheetData>
    <row r="1" spans="1:19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9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2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19" ht="14.25" customHeight="1">
      <c r="A2" s="159" t="s">
        <v>94</v>
      </c>
      <c r="B2" s="17" t="s">
        <v>89</v>
      </c>
      <c r="C2" s="20" t="s">
        <v>124</v>
      </c>
      <c r="D2" s="261"/>
      <c r="E2" s="262"/>
      <c r="F2" s="18">
        <v>2001</v>
      </c>
      <c r="G2" s="19" t="s">
        <v>90</v>
      </c>
      <c r="H2" s="18" t="s">
        <v>187</v>
      </c>
      <c r="I2" s="17" t="s">
        <v>91</v>
      </c>
      <c r="J2" s="18" t="s">
        <v>81</v>
      </c>
      <c r="K2" s="18">
        <v>1200</v>
      </c>
      <c r="L2" s="17">
        <v>1.2E-2</v>
      </c>
      <c r="M2" s="17" t="s">
        <v>80</v>
      </c>
      <c r="N2" s="17" t="s">
        <v>88</v>
      </c>
      <c r="O2" s="18">
        <v>100</v>
      </c>
      <c r="P2" s="105">
        <v>2.0000000000000052E-4</v>
      </c>
      <c r="Q2" s="4">
        <v>4.0800000000000003E-3</v>
      </c>
      <c r="R2" s="4">
        <v>5.3600000000000002E-3</v>
      </c>
      <c r="S2" s="4">
        <v>6.0000000000000001E-3</v>
      </c>
    </row>
    <row r="3" spans="1:19" ht="14.25" customHeight="1">
      <c r="A3" s="159" t="s">
        <v>94</v>
      </c>
      <c r="B3" s="17" t="s">
        <v>89</v>
      </c>
      <c r="C3" s="158" t="s">
        <v>100</v>
      </c>
      <c r="D3" s="109">
        <v>-50.439226072752582</v>
      </c>
      <c r="E3" s="109">
        <v>-21.205476000000004</v>
      </c>
      <c r="F3" s="18">
        <v>2001</v>
      </c>
      <c r="G3" s="19" t="s">
        <v>90</v>
      </c>
      <c r="H3" s="18" t="s">
        <v>177</v>
      </c>
      <c r="I3" s="17" t="s">
        <v>91</v>
      </c>
      <c r="J3" s="18" t="s">
        <v>81</v>
      </c>
      <c r="K3" s="18">
        <v>1500</v>
      </c>
      <c r="L3" s="17">
        <v>1.2E-2</v>
      </c>
      <c r="M3" s="17" t="s">
        <v>80</v>
      </c>
      <c r="N3" s="17" t="s">
        <v>88</v>
      </c>
      <c r="O3" s="10">
        <v>97.3</v>
      </c>
      <c r="P3" s="105">
        <v>8.0000000000000036E-4</v>
      </c>
      <c r="Q3" s="4">
        <v>7.0600000000000003E-3</v>
      </c>
      <c r="R3" s="4">
        <v>1.1769999999999999E-2</v>
      </c>
      <c r="S3" s="4">
        <v>1.455E-2</v>
      </c>
    </row>
    <row r="4" spans="1:19" ht="14.25" customHeight="1">
      <c r="A4" s="159" t="s">
        <v>94</v>
      </c>
      <c r="B4" s="17" t="s">
        <v>89</v>
      </c>
      <c r="C4" s="158" t="s">
        <v>101</v>
      </c>
      <c r="D4" s="109">
        <v>-48.567377839455055</v>
      </c>
      <c r="E4" s="109">
        <v>-20.558455515000002</v>
      </c>
      <c r="F4" s="18">
        <v>2001</v>
      </c>
      <c r="G4" s="19" t="s">
        <v>90</v>
      </c>
      <c r="H4" s="18" t="s">
        <v>177</v>
      </c>
      <c r="I4" s="17" t="s">
        <v>91</v>
      </c>
      <c r="J4" s="18" t="s">
        <v>81</v>
      </c>
      <c r="K4" s="18">
        <v>1200</v>
      </c>
      <c r="L4" s="17">
        <v>1.2E-2</v>
      </c>
      <c r="M4" s="17" t="s">
        <v>80</v>
      </c>
      <c r="N4" s="17" t="s">
        <v>88</v>
      </c>
      <c r="O4" s="10">
        <v>94.4</v>
      </c>
      <c r="P4" s="105">
        <v>6.9999999999999923E-4</v>
      </c>
      <c r="Q4" s="4">
        <v>9.2800000000000001E-3</v>
      </c>
      <c r="R4" s="4">
        <v>1.515E-2</v>
      </c>
      <c r="S4" s="4">
        <v>1.856E-2</v>
      </c>
    </row>
    <row r="5" spans="1:19" ht="14.25" customHeight="1">
      <c r="A5" s="159" t="s">
        <v>94</v>
      </c>
      <c r="B5" s="17" t="s">
        <v>89</v>
      </c>
      <c r="C5" s="158" t="s">
        <v>102</v>
      </c>
      <c r="D5" s="109">
        <v>-49.083000867090362</v>
      </c>
      <c r="E5" s="109">
        <v>-22.325122500000006</v>
      </c>
      <c r="F5" s="18">
        <v>2001</v>
      </c>
      <c r="G5" s="19" t="s">
        <v>90</v>
      </c>
      <c r="H5" s="18" t="s">
        <v>177</v>
      </c>
      <c r="I5" s="17" t="s">
        <v>91</v>
      </c>
      <c r="J5" s="18" t="s">
        <v>81</v>
      </c>
      <c r="K5" s="18">
        <v>1200</v>
      </c>
      <c r="L5" s="17">
        <v>1.2E-2</v>
      </c>
      <c r="M5" s="17" t="s">
        <v>80</v>
      </c>
      <c r="N5" s="17" t="s">
        <v>88</v>
      </c>
      <c r="O5" s="10">
        <v>99.8</v>
      </c>
      <c r="P5" s="105">
        <v>5.9999999999999984E-4</v>
      </c>
      <c r="Q5" s="4">
        <v>5.77E-3</v>
      </c>
      <c r="R5" s="4">
        <v>9.4299999999999991E-3</v>
      </c>
      <c r="S5" s="4">
        <v>1.1560000000000001E-2</v>
      </c>
    </row>
    <row r="6" spans="1:19" ht="14.25" customHeight="1">
      <c r="A6" s="159" t="s">
        <v>94</v>
      </c>
      <c r="B6" s="17" t="s">
        <v>89</v>
      </c>
      <c r="C6" s="158" t="s">
        <v>103</v>
      </c>
      <c r="D6" s="109">
        <v>-48.441289384350434</v>
      </c>
      <c r="E6" s="109">
        <v>-22.888381500000008</v>
      </c>
      <c r="F6" s="18">
        <v>2001</v>
      </c>
      <c r="G6" s="19" t="s">
        <v>90</v>
      </c>
      <c r="H6" s="18" t="s">
        <v>177</v>
      </c>
      <c r="I6" s="17" t="s">
        <v>91</v>
      </c>
      <c r="J6" s="18" t="s">
        <v>81</v>
      </c>
      <c r="K6" s="18">
        <v>900</v>
      </c>
      <c r="L6" s="17">
        <v>1.2E-2</v>
      </c>
      <c r="M6" s="17" t="s">
        <v>80</v>
      </c>
      <c r="N6" s="17" t="s">
        <v>88</v>
      </c>
      <c r="O6" s="24">
        <v>97.8</v>
      </c>
      <c r="P6" s="112">
        <f>STDEV(92.4,100,98,97,98,90.3)</f>
        <v>3.7532652450902595</v>
      </c>
      <c r="Q6" s="27"/>
      <c r="R6" s="27"/>
      <c r="S6" s="27"/>
    </row>
    <row r="7" spans="1:19" ht="14.25" customHeight="1">
      <c r="A7" s="159" t="s">
        <v>94</v>
      </c>
      <c r="B7" s="17" t="s">
        <v>89</v>
      </c>
      <c r="C7" s="158" t="s">
        <v>104</v>
      </c>
      <c r="D7" s="109">
        <v>-47.06015627297316</v>
      </c>
      <c r="E7" s="109">
        <v>-22.907342500000002</v>
      </c>
      <c r="F7" s="18">
        <v>2001</v>
      </c>
      <c r="G7" s="19" t="s">
        <v>90</v>
      </c>
      <c r="H7" s="18" t="s">
        <v>177</v>
      </c>
      <c r="I7" s="17" t="s">
        <v>91</v>
      </c>
      <c r="J7" s="18" t="s">
        <v>81</v>
      </c>
      <c r="K7" s="18">
        <v>2100</v>
      </c>
      <c r="L7" s="17">
        <v>1.2E-2</v>
      </c>
      <c r="M7" s="17" t="s">
        <v>80</v>
      </c>
      <c r="N7" s="17" t="s">
        <v>88</v>
      </c>
      <c r="O7" s="24">
        <v>93.6</v>
      </c>
      <c r="P7" s="105">
        <v>9.9999999999999915E-4</v>
      </c>
      <c r="Q7" s="4">
        <v>8.6499999999999997E-3</v>
      </c>
      <c r="R7" s="4">
        <v>1.558E-2</v>
      </c>
      <c r="S7" s="4">
        <v>1.9879999999999998E-2</v>
      </c>
    </row>
    <row r="8" spans="1:19" ht="14.25" customHeight="1">
      <c r="A8" s="159" t="s">
        <v>94</v>
      </c>
      <c r="B8" s="17" t="s">
        <v>89</v>
      </c>
      <c r="C8" s="158" t="s">
        <v>107</v>
      </c>
      <c r="D8" s="109">
        <v>-49.951645643103269</v>
      </c>
      <c r="E8" s="109">
        <v>-22.122743500000002</v>
      </c>
      <c r="F8" s="18">
        <v>2001</v>
      </c>
      <c r="G8" s="19" t="s">
        <v>90</v>
      </c>
      <c r="H8" s="18" t="s">
        <v>177</v>
      </c>
      <c r="I8" s="17" t="s">
        <v>91</v>
      </c>
      <c r="J8" s="18" t="s">
        <v>81</v>
      </c>
      <c r="K8" s="158">
        <v>1500</v>
      </c>
      <c r="L8" s="17">
        <v>1.2E-2</v>
      </c>
      <c r="M8" s="17" t="s">
        <v>80</v>
      </c>
      <c r="N8" s="17" t="s">
        <v>88</v>
      </c>
      <c r="O8" s="24">
        <v>99.4</v>
      </c>
      <c r="P8" s="105">
        <v>5.0000000000000044E-4</v>
      </c>
      <c r="Q8" s="4">
        <v>6.8999999999999999E-3</v>
      </c>
      <c r="R8" s="4">
        <v>1.001E-2</v>
      </c>
      <c r="S8" s="4">
        <v>1.1679999999999999E-2</v>
      </c>
    </row>
    <row r="9" spans="1:19" ht="14.25" customHeight="1">
      <c r="A9" s="159" t="s">
        <v>94</v>
      </c>
      <c r="B9" s="17" t="s">
        <v>89</v>
      </c>
      <c r="C9" s="158" t="s">
        <v>108</v>
      </c>
      <c r="D9" s="109">
        <v>-51.386765581912492</v>
      </c>
      <c r="E9" s="109">
        <v>-24.494251427999906</v>
      </c>
      <c r="F9" s="18">
        <v>2001</v>
      </c>
      <c r="G9" s="19" t="s">
        <v>90</v>
      </c>
      <c r="H9" s="18" t="s">
        <v>177</v>
      </c>
      <c r="I9" s="17" t="s">
        <v>91</v>
      </c>
      <c r="J9" s="18" t="s">
        <v>81</v>
      </c>
      <c r="K9" s="5">
        <v>1200</v>
      </c>
      <c r="L9" s="17">
        <v>1.2E-2</v>
      </c>
      <c r="M9" s="17" t="s">
        <v>80</v>
      </c>
      <c r="N9" s="17" t="s">
        <v>88</v>
      </c>
      <c r="O9" s="24">
        <v>99.4</v>
      </c>
      <c r="P9" s="105">
        <v>2.9999999999999992E-4</v>
      </c>
      <c r="Q9" s="4">
        <v>5.5199999999999997E-3</v>
      </c>
      <c r="R9" s="4">
        <v>8.2000000000000007E-3</v>
      </c>
      <c r="S9" s="4">
        <v>9.6699999999999998E-3</v>
      </c>
    </row>
    <row r="10" spans="1:19" ht="14.25" customHeight="1">
      <c r="A10" s="159" t="s">
        <v>94</v>
      </c>
      <c r="B10" s="17" t="s">
        <v>89</v>
      </c>
      <c r="C10" s="158" t="s">
        <v>109</v>
      </c>
      <c r="D10" s="109">
        <v>-47.805475915541528</v>
      </c>
      <c r="E10" s="109">
        <v>-21.184834500000004</v>
      </c>
      <c r="F10" s="18">
        <v>2001</v>
      </c>
      <c r="G10" s="19" t="s">
        <v>90</v>
      </c>
      <c r="H10" s="18" t="s">
        <v>177</v>
      </c>
      <c r="I10" s="17" t="s">
        <v>91</v>
      </c>
      <c r="J10" s="18" t="s">
        <v>81</v>
      </c>
      <c r="K10" s="5">
        <v>1200</v>
      </c>
      <c r="L10" s="17">
        <v>1.2E-2</v>
      </c>
      <c r="M10" s="17" t="s">
        <v>80</v>
      </c>
      <c r="N10" s="17" t="s">
        <v>88</v>
      </c>
      <c r="O10" s="24">
        <v>94.6</v>
      </c>
      <c r="P10" s="105">
        <v>8.000000000000021E-4</v>
      </c>
      <c r="Q10" s="3">
        <v>9.4199999999999996E-3</v>
      </c>
      <c r="R10" s="3">
        <v>1.5779999999999999E-2</v>
      </c>
      <c r="S10" s="3">
        <v>1.9539999999999998E-2</v>
      </c>
    </row>
    <row r="11" spans="1:19" ht="14.25" customHeight="1">
      <c r="A11" s="159" t="s">
        <v>94</v>
      </c>
      <c r="B11" s="17" t="s">
        <v>89</v>
      </c>
      <c r="C11" s="158" t="s">
        <v>110</v>
      </c>
      <c r="D11" s="109">
        <v>-46.331370849190684</v>
      </c>
      <c r="E11" s="109">
        <v>-23.933737500000003</v>
      </c>
      <c r="F11" s="18">
        <v>2001</v>
      </c>
      <c r="G11" s="19" t="s">
        <v>90</v>
      </c>
      <c r="H11" s="18" t="s">
        <v>177</v>
      </c>
      <c r="I11" s="17" t="s">
        <v>91</v>
      </c>
      <c r="J11" s="18" t="s">
        <v>81</v>
      </c>
      <c r="K11" s="5">
        <v>1500</v>
      </c>
      <c r="L11" s="17">
        <v>1.2E-2</v>
      </c>
      <c r="M11" s="17" t="s">
        <v>80</v>
      </c>
      <c r="N11" s="17" t="s">
        <v>88</v>
      </c>
      <c r="O11" s="24">
        <v>54.7</v>
      </c>
      <c r="P11" s="105">
        <v>1.0999999999999968E-3</v>
      </c>
      <c r="Q11" s="3">
        <v>1.5810000000000001E-2</v>
      </c>
      <c r="R11" s="3">
        <v>2.547E-2</v>
      </c>
      <c r="S11" s="3">
        <v>3.1029999999999999E-2</v>
      </c>
    </row>
    <row r="12" spans="1:19" ht="14.25" customHeight="1">
      <c r="A12" s="159" t="s">
        <v>94</v>
      </c>
      <c r="B12" s="17" t="s">
        <v>89</v>
      </c>
      <c r="C12" s="158" t="s">
        <v>127</v>
      </c>
      <c r="D12" s="109">
        <v>-46.922092505649722</v>
      </c>
      <c r="E12" s="109">
        <v>-23.933737500000003</v>
      </c>
      <c r="F12" s="18">
        <v>2001</v>
      </c>
      <c r="G12" s="19" t="s">
        <v>90</v>
      </c>
      <c r="H12" s="18" t="s">
        <v>177</v>
      </c>
      <c r="I12" s="17" t="s">
        <v>91</v>
      </c>
      <c r="J12" s="18" t="s">
        <v>81</v>
      </c>
      <c r="K12" s="5">
        <v>1200</v>
      </c>
      <c r="L12" s="17">
        <v>1.2E-2</v>
      </c>
      <c r="M12" s="17" t="s">
        <v>80</v>
      </c>
      <c r="N12" s="17" t="s">
        <v>88</v>
      </c>
      <c r="O12" s="24">
        <v>90.6</v>
      </c>
      <c r="P12" s="105">
        <v>1.0000000000000009E-3</v>
      </c>
      <c r="Q12" s="3">
        <v>9.2899999999999996E-3</v>
      </c>
      <c r="R12" s="3">
        <v>1.6629999999999999E-2</v>
      </c>
      <c r="S12" s="3">
        <v>2.1160000000000002E-2</v>
      </c>
    </row>
    <row r="13" spans="1:19" ht="14.25" customHeight="1">
      <c r="A13" s="159" t="s">
        <v>94</v>
      </c>
      <c r="B13" s="17" t="s">
        <v>89</v>
      </c>
      <c r="C13" s="158" t="s">
        <v>113</v>
      </c>
      <c r="D13" s="109">
        <v>-45.402680140543957</v>
      </c>
      <c r="E13" s="109">
        <v>-23.806687652148753</v>
      </c>
      <c r="F13" s="18">
        <v>2001</v>
      </c>
      <c r="G13" s="19" t="s">
        <v>90</v>
      </c>
      <c r="H13" s="18" t="s">
        <v>177</v>
      </c>
      <c r="I13" s="17" t="s">
        <v>91</v>
      </c>
      <c r="J13" s="18" t="s">
        <v>81</v>
      </c>
      <c r="K13" s="5">
        <v>1800</v>
      </c>
      <c r="L13" s="17">
        <v>1.2E-2</v>
      </c>
      <c r="M13" s="17" t="s">
        <v>80</v>
      </c>
      <c r="N13" s="17" t="s">
        <v>88</v>
      </c>
      <c r="O13" s="24">
        <v>79.2</v>
      </c>
      <c r="P13" s="105">
        <v>8.000000000000021E-4</v>
      </c>
      <c r="Q13" s="4">
        <v>1.306E-2</v>
      </c>
      <c r="R13" s="4">
        <v>1.813E-2</v>
      </c>
      <c r="S13" s="4">
        <v>2.077E-2</v>
      </c>
    </row>
    <row r="14" spans="1:19" ht="14.25" customHeight="1">
      <c r="A14" s="159" t="s">
        <v>94</v>
      </c>
      <c r="B14" s="17" t="s">
        <v>89</v>
      </c>
      <c r="C14" s="158" t="s">
        <v>112</v>
      </c>
      <c r="D14" s="109">
        <v>-49.381347685025794</v>
      </c>
      <c r="E14" s="109">
        <v>-20.812636500000004</v>
      </c>
      <c r="F14" s="18">
        <v>2001</v>
      </c>
      <c r="G14" s="19" t="s">
        <v>90</v>
      </c>
      <c r="H14" s="18" t="s">
        <v>177</v>
      </c>
      <c r="I14" s="17" t="s">
        <v>91</v>
      </c>
      <c r="J14" s="18" t="s">
        <v>81</v>
      </c>
      <c r="K14" s="5">
        <v>1500</v>
      </c>
      <c r="L14" s="17">
        <v>1.2E-2</v>
      </c>
      <c r="M14" s="17" t="s">
        <v>80</v>
      </c>
      <c r="N14" s="17" t="s">
        <v>88</v>
      </c>
      <c r="O14" s="24">
        <v>81.5</v>
      </c>
      <c r="P14" s="105">
        <v>9.9999999999999915E-4</v>
      </c>
      <c r="Q14" s="3">
        <v>8.3700000000000007E-3</v>
      </c>
      <c r="R14" s="3">
        <v>1.6230000000000001E-2</v>
      </c>
      <c r="S14" s="3">
        <v>2.1360000000000001E-2</v>
      </c>
    </row>
    <row r="15" spans="1:19" ht="14.25" customHeight="1">
      <c r="A15" s="159" t="s">
        <v>94</v>
      </c>
      <c r="B15" s="17" t="s">
        <v>89</v>
      </c>
      <c r="C15" s="158" t="s">
        <v>95</v>
      </c>
      <c r="D15" s="109">
        <v>-46.570383182112749</v>
      </c>
      <c r="E15" s="109">
        <v>-23.567386500000001</v>
      </c>
      <c r="F15" s="18">
        <v>2001</v>
      </c>
      <c r="G15" s="19" t="s">
        <v>90</v>
      </c>
      <c r="H15" s="18" t="s">
        <v>177</v>
      </c>
      <c r="I15" s="17" t="s">
        <v>91</v>
      </c>
      <c r="J15" s="18" t="s">
        <v>81</v>
      </c>
      <c r="K15" s="5">
        <v>1500</v>
      </c>
      <c r="L15" s="17">
        <v>1.2E-2</v>
      </c>
      <c r="M15" s="17" t="s">
        <v>80</v>
      </c>
      <c r="N15" s="17" t="s">
        <v>88</v>
      </c>
      <c r="O15" s="24">
        <v>98</v>
      </c>
      <c r="P15" s="105">
        <v>9.0000000000000149E-4</v>
      </c>
      <c r="Q15" s="3">
        <v>8.6700000000000006E-3</v>
      </c>
      <c r="R15" s="3">
        <v>1.447E-2</v>
      </c>
      <c r="S15" s="3">
        <v>1.788E-2</v>
      </c>
    </row>
    <row r="16" spans="1:19" ht="14.25" customHeight="1" thickBot="1">
      <c r="A16" s="11" t="s">
        <v>94</v>
      </c>
      <c r="B16" s="21" t="s">
        <v>89</v>
      </c>
      <c r="C16" s="11" t="s">
        <v>146</v>
      </c>
      <c r="D16" s="110">
        <v>-54.58710248860465</v>
      </c>
      <c r="E16" s="110">
        <v>-25.542493279529253</v>
      </c>
      <c r="F16" s="21">
        <v>2001</v>
      </c>
      <c r="G16" s="22" t="s">
        <v>90</v>
      </c>
      <c r="H16" s="21" t="s">
        <v>177</v>
      </c>
      <c r="I16" s="21" t="s">
        <v>91</v>
      </c>
      <c r="J16" s="21" t="s">
        <v>81</v>
      </c>
      <c r="K16" s="6">
        <v>1200</v>
      </c>
      <c r="L16" s="21">
        <v>1.2E-2</v>
      </c>
      <c r="M16" s="21" t="s">
        <v>80</v>
      </c>
      <c r="N16" s="21" t="s">
        <v>88</v>
      </c>
      <c r="O16" s="25">
        <v>99.7</v>
      </c>
      <c r="P16" s="106">
        <v>1.2999999999999991E-3</v>
      </c>
      <c r="Q16" s="29">
        <v>5.1399999999999996E-3</v>
      </c>
      <c r="R16" s="29">
        <v>1.214E-2</v>
      </c>
      <c r="S16" s="29">
        <v>1.7330000000000002E-2</v>
      </c>
    </row>
    <row r="17" spans="1:19" ht="14.25" customHeight="1">
      <c r="A17" s="159" t="s">
        <v>94</v>
      </c>
      <c r="B17" s="17" t="s">
        <v>89</v>
      </c>
      <c r="C17" s="20" t="s">
        <v>124</v>
      </c>
      <c r="D17" s="261"/>
      <c r="E17" s="262"/>
      <c r="F17" s="18">
        <v>2001</v>
      </c>
      <c r="G17" s="19" t="s">
        <v>90</v>
      </c>
      <c r="H17" s="18" t="s">
        <v>187</v>
      </c>
      <c r="I17" s="17" t="s">
        <v>91</v>
      </c>
      <c r="J17" s="3" t="s">
        <v>92</v>
      </c>
      <c r="K17" s="5">
        <v>1200</v>
      </c>
      <c r="L17" s="17">
        <v>0.01</v>
      </c>
      <c r="M17" s="17" t="s">
        <v>80</v>
      </c>
      <c r="N17" s="17" t="s">
        <v>97</v>
      </c>
      <c r="O17" s="51">
        <v>100</v>
      </c>
      <c r="P17" s="4">
        <v>9.9999999999999829E-5</v>
      </c>
      <c r="Q17" s="23">
        <v>2.4299999999999999E-3</v>
      </c>
      <c r="R17" s="23">
        <v>3.8300000000000001E-3</v>
      </c>
      <c r="S17" s="23">
        <v>4.62E-3</v>
      </c>
    </row>
    <row r="18" spans="1:19" ht="14.25" customHeight="1">
      <c r="A18" s="159" t="s">
        <v>94</v>
      </c>
      <c r="B18" s="17" t="s">
        <v>89</v>
      </c>
      <c r="C18" s="158" t="s">
        <v>100</v>
      </c>
      <c r="D18" s="109">
        <v>-50.439226072752582</v>
      </c>
      <c r="E18" s="109">
        <v>-21.205476000000004</v>
      </c>
      <c r="F18" s="18">
        <v>2001</v>
      </c>
      <c r="G18" s="19" t="s">
        <v>90</v>
      </c>
      <c r="H18" s="18" t="s">
        <v>177</v>
      </c>
      <c r="I18" s="17" t="s">
        <v>91</v>
      </c>
      <c r="J18" s="3" t="s">
        <v>92</v>
      </c>
      <c r="K18" s="5">
        <v>2400</v>
      </c>
      <c r="L18" s="17">
        <v>0.01</v>
      </c>
      <c r="M18" s="17" t="s">
        <v>80</v>
      </c>
      <c r="N18" s="17" t="s">
        <v>97</v>
      </c>
      <c r="O18" s="24">
        <v>94</v>
      </c>
      <c r="P18" s="3">
        <v>2.9999999999999992E-4</v>
      </c>
      <c r="Q18" s="3">
        <v>4.0000000000000001E-3</v>
      </c>
      <c r="R18" s="3">
        <v>6.5399999999999998E-3</v>
      </c>
      <c r="S18" s="3">
        <v>8.0199999999999994E-3</v>
      </c>
    </row>
    <row r="19" spans="1:19" ht="14.25" customHeight="1">
      <c r="A19" s="159" t="s">
        <v>94</v>
      </c>
      <c r="B19" s="17" t="s">
        <v>89</v>
      </c>
      <c r="C19" s="158" t="s">
        <v>101</v>
      </c>
      <c r="D19" s="109">
        <v>-48.567377839455055</v>
      </c>
      <c r="E19" s="109">
        <v>-20.558455515000002</v>
      </c>
      <c r="F19" s="18">
        <v>2001</v>
      </c>
      <c r="G19" s="19" t="s">
        <v>90</v>
      </c>
      <c r="H19" s="18" t="s">
        <v>177</v>
      </c>
      <c r="I19" s="17" t="s">
        <v>91</v>
      </c>
      <c r="J19" s="3" t="s">
        <v>92</v>
      </c>
      <c r="K19" s="5">
        <v>1200</v>
      </c>
      <c r="L19" s="17">
        <v>0.01</v>
      </c>
      <c r="M19" s="17" t="s">
        <v>80</v>
      </c>
      <c r="N19" s="17" t="s">
        <v>97</v>
      </c>
      <c r="O19" s="24">
        <v>99.6</v>
      </c>
      <c r="P19" s="3">
        <v>2.9999999999999992E-4</v>
      </c>
      <c r="Q19" s="3">
        <v>4.13E-3</v>
      </c>
      <c r="R19" s="3">
        <v>6.9699999999999996E-3</v>
      </c>
      <c r="S19" s="3">
        <v>8.6599999999999993E-3</v>
      </c>
    </row>
    <row r="20" spans="1:19" ht="14.25" customHeight="1">
      <c r="A20" s="159" t="s">
        <v>94</v>
      </c>
      <c r="B20" s="17" t="s">
        <v>89</v>
      </c>
      <c r="C20" s="158" t="s">
        <v>102</v>
      </c>
      <c r="D20" s="109">
        <v>-49.083000867090362</v>
      </c>
      <c r="E20" s="109">
        <v>-22.325122500000006</v>
      </c>
      <c r="F20" s="18">
        <v>2001</v>
      </c>
      <c r="G20" s="19" t="s">
        <v>90</v>
      </c>
      <c r="H20" s="18" t="s">
        <v>177</v>
      </c>
      <c r="I20" s="17" t="s">
        <v>91</v>
      </c>
      <c r="J20" s="3" t="s">
        <v>92</v>
      </c>
      <c r="K20" s="5">
        <v>1500</v>
      </c>
      <c r="L20" s="17">
        <v>0.01</v>
      </c>
      <c r="M20" s="17" t="s">
        <v>80</v>
      </c>
      <c r="N20" s="17" t="s">
        <v>97</v>
      </c>
      <c r="O20" s="51">
        <v>100</v>
      </c>
      <c r="P20" s="3">
        <v>2.0000000000000052E-4</v>
      </c>
      <c r="Q20" s="3">
        <v>2.5999999999999999E-3</v>
      </c>
      <c r="R20" s="3">
        <v>4.0600000000000002E-3</v>
      </c>
      <c r="S20" s="3">
        <v>4.8900000000000002E-3</v>
      </c>
    </row>
    <row r="21" spans="1:19" ht="14.25" customHeight="1">
      <c r="A21" s="159" t="s">
        <v>94</v>
      </c>
      <c r="B21" s="17" t="s">
        <v>89</v>
      </c>
      <c r="C21" s="158" t="s">
        <v>103</v>
      </c>
      <c r="D21" s="109">
        <v>-48.441289384350434</v>
      </c>
      <c r="E21" s="109">
        <v>-22.888381500000008</v>
      </c>
      <c r="F21" s="18">
        <v>2001</v>
      </c>
      <c r="G21" s="19" t="s">
        <v>90</v>
      </c>
      <c r="H21" s="18" t="s">
        <v>177</v>
      </c>
      <c r="I21" s="17" t="s">
        <v>91</v>
      </c>
      <c r="J21" s="3" t="s">
        <v>92</v>
      </c>
      <c r="K21" s="5">
        <v>1800</v>
      </c>
      <c r="L21" s="17">
        <v>0.01</v>
      </c>
      <c r="M21" s="17" t="s">
        <v>80</v>
      </c>
      <c r="N21" s="17" t="s">
        <v>97</v>
      </c>
      <c r="O21" s="24">
        <v>97.2</v>
      </c>
      <c r="P21" s="3">
        <v>4.0000000000000105E-4</v>
      </c>
      <c r="Q21" s="3">
        <v>5.1799999999999997E-3</v>
      </c>
      <c r="R21" s="3">
        <v>8.7899999999999992E-3</v>
      </c>
      <c r="S21" s="3">
        <v>1.094E-2</v>
      </c>
    </row>
    <row r="22" spans="1:19" ht="14.25" customHeight="1">
      <c r="A22" s="159" t="s">
        <v>94</v>
      </c>
      <c r="B22" s="17" t="s">
        <v>89</v>
      </c>
      <c r="C22" s="158" t="s">
        <v>104</v>
      </c>
      <c r="D22" s="109">
        <v>-47.06015627297316</v>
      </c>
      <c r="E22" s="109">
        <v>-22.907342500000002</v>
      </c>
      <c r="F22" s="18">
        <v>2001</v>
      </c>
      <c r="G22" s="19" t="s">
        <v>90</v>
      </c>
      <c r="H22" s="18" t="s">
        <v>177</v>
      </c>
      <c r="I22" s="17" t="s">
        <v>91</v>
      </c>
      <c r="J22" s="3" t="s">
        <v>92</v>
      </c>
      <c r="K22" s="5">
        <v>1800</v>
      </c>
      <c r="L22" s="17">
        <v>0.01</v>
      </c>
      <c r="M22" s="17" t="s">
        <v>80</v>
      </c>
      <c r="N22" s="17" t="s">
        <v>97</v>
      </c>
      <c r="O22" s="24">
        <v>99.1</v>
      </c>
      <c r="P22" s="3">
        <v>2.9999999999999992E-4</v>
      </c>
      <c r="Q22" s="3">
        <v>3.3400000000000001E-3</v>
      </c>
      <c r="R22" s="3">
        <v>6.4999999999999997E-3</v>
      </c>
      <c r="S22" s="3">
        <v>8.5599999999999999E-3</v>
      </c>
    </row>
    <row r="23" spans="1:19" ht="14.25" customHeight="1">
      <c r="A23" s="159" t="s">
        <v>94</v>
      </c>
      <c r="B23" s="17" t="s">
        <v>89</v>
      </c>
      <c r="C23" s="158" t="s">
        <v>107</v>
      </c>
      <c r="D23" s="109">
        <v>-49.951645643103269</v>
      </c>
      <c r="E23" s="109">
        <v>-22.122743500000002</v>
      </c>
      <c r="F23" s="18">
        <v>2001</v>
      </c>
      <c r="G23" s="19" t="s">
        <v>90</v>
      </c>
      <c r="H23" s="18" t="s">
        <v>177</v>
      </c>
      <c r="I23" s="17" t="s">
        <v>91</v>
      </c>
      <c r="J23" s="3" t="s">
        <v>92</v>
      </c>
      <c r="K23" s="5">
        <v>1500</v>
      </c>
      <c r="L23" s="17">
        <v>0.01</v>
      </c>
      <c r="M23" s="17" t="s">
        <v>80</v>
      </c>
      <c r="N23" s="17" t="s">
        <v>97</v>
      </c>
      <c r="O23" s="51">
        <v>100</v>
      </c>
      <c r="P23" s="3">
        <v>1.9999999999999966E-4</v>
      </c>
      <c r="Q23" s="3">
        <v>4.47E-3</v>
      </c>
      <c r="R23" s="3">
        <v>7.3299999999999997E-3</v>
      </c>
      <c r="S23" s="3">
        <v>9.0100000000000006E-3</v>
      </c>
    </row>
    <row r="24" spans="1:19" ht="14.25" customHeight="1">
      <c r="A24" s="159" t="s">
        <v>94</v>
      </c>
      <c r="B24" s="17" t="s">
        <v>89</v>
      </c>
      <c r="C24" s="158" t="s">
        <v>108</v>
      </c>
      <c r="D24" s="109">
        <v>-51.386765581912492</v>
      </c>
      <c r="E24" s="109">
        <v>-24.494251427999906</v>
      </c>
      <c r="F24" s="18">
        <v>2001</v>
      </c>
      <c r="G24" s="19" t="s">
        <v>90</v>
      </c>
      <c r="H24" s="18" t="s">
        <v>177</v>
      </c>
      <c r="I24" s="17" t="s">
        <v>91</v>
      </c>
      <c r="J24" s="3" t="s">
        <v>92</v>
      </c>
      <c r="K24" s="5">
        <v>1200</v>
      </c>
      <c r="L24" s="17">
        <v>0.01</v>
      </c>
      <c r="M24" s="17" t="s">
        <v>80</v>
      </c>
      <c r="N24" s="17" t="s">
        <v>97</v>
      </c>
      <c r="O24" s="24">
        <v>99.1</v>
      </c>
      <c r="P24" s="3">
        <v>1.0000000000000026E-4</v>
      </c>
      <c r="Q24" s="3">
        <v>3.2399999999999998E-3</v>
      </c>
      <c r="R24" s="3">
        <v>4.9399999999999999E-3</v>
      </c>
      <c r="S24" s="3">
        <v>5.8900000000000003E-3</v>
      </c>
    </row>
    <row r="25" spans="1:19" ht="14.25" customHeight="1">
      <c r="A25" s="159" t="s">
        <v>94</v>
      </c>
      <c r="B25" s="17" t="s">
        <v>89</v>
      </c>
      <c r="C25" s="158" t="s">
        <v>109</v>
      </c>
      <c r="D25" s="109">
        <v>-47.805475915541528</v>
      </c>
      <c r="E25" s="109">
        <v>-21.184834500000004</v>
      </c>
      <c r="F25" s="18">
        <v>2001</v>
      </c>
      <c r="G25" s="19" t="s">
        <v>90</v>
      </c>
      <c r="H25" s="18" t="s">
        <v>177</v>
      </c>
      <c r="I25" s="17" t="s">
        <v>91</v>
      </c>
      <c r="J25" s="3" t="s">
        <v>92</v>
      </c>
      <c r="K25" s="5">
        <v>1500</v>
      </c>
      <c r="L25" s="17">
        <v>0.01</v>
      </c>
      <c r="M25" s="17" t="s">
        <v>80</v>
      </c>
      <c r="N25" s="17" t="s">
        <v>97</v>
      </c>
      <c r="O25" s="24">
        <v>94.6</v>
      </c>
      <c r="P25" s="3">
        <v>3.9999999999999931E-4</v>
      </c>
      <c r="Q25" s="3">
        <v>5.1500000000000001E-3</v>
      </c>
      <c r="R25" s="3">
        <v>9.0299999999999998E-3</v>
      </c>
      <c r="S25" s="3">
        <v>1.14E-2</v>
      </c>
    </row>
    <row r="26" spans="1:19" ht="14.25" customHeight="1">
      <c r="A26" s="159" t="s">
        <v>94</v>
      </c>
      <c r="B26" s="17" t="s">
        <v>89</v>
      </c>
      <c r="C26" s="158" t="s">
        <v>110</v>
      </c>
      <c r="D26" s="109">
        <v>-46.331370849190684</v>
      </c>
      <c r="E26" s="109">
        <v>-23.933737500000003</v>
      </c>
      <c r="F26" s="18">
        <v>2001</v>
      </c>
      <c r="G26" s="19" t="s">
        <v>90</v>
      </c>
      <c r="H26" s="18" t="s">
        <v>177</v>
      </c>
      <c r="I26" s="17" t="s">
        <v>91</v>
      </c>
      <c r="J26" s="3" t="s">
        <v>92</v>
      </c>
      <c r="K26" s="5">
        <v>1500</v>
      </c>
      <c r="L26" s="17">
        <v>0.01</v>
      </c>
      <c r="M26" s="17" t="s">
        <v>80</v>
      </c>
      <c r="N26" s="17" t="s">
        <v>97</v>
      </c>
      <c r="O26" s="24">
        <v>87.1</v>
      </c>
      <c r="P26" s="3">
        <v>2.9999999999999992E-4</v>
      </c>
      <c r="Q26" s="3">
        <v>6.1700000000000001E-3</v>
      </c>
      <c r="R26" s="3">
        <v>9.7300000000000008E-3</v>
      </c>
      <c r="S26" s="3">
        <v>1.175E-2</v>
      </c>
    </row>
    <row r="27" spans="1:19" ht="14.25" customHeight="1">
      <c r="A27" s="159" t="s">
        <v>94</v>
      </c>
      <c r="B27" s="17" t="s">
        <v>89</v>
      </c>
      <c r="C27" s="158" t="s">
        <v>127</v>
      </c>
      <c r="D27" s="109">
        <v>-46.922092505649722</v>
      </c>
      <c r="E27" s="109">
        <v>-23.933737500000003</v>
      </c>
      <c r="F27" s="18">
        <v>2001</v>
      </c>
      <c r="G27" s="19" t="s">
        <v>90</v>
      </c>
      <c r="H27" s="18" t="s">
        <v>177</v>
      </c>
      <c r="I27" s="17" t="s">
        <v>91</v>
      </c>
      <c r="J27" s="3" t="s">
        <v>92</v>
      </c>
      <c r="K27" s="5">
        <v>1200</v>
      </c>
      <c r="L27" s="17">
        <v>0.01</v>
      </c>
      <c r="M27" s="17" t="s">
        <v>80</v>
      </c>
      <c r="N27" s="17" t="s">
        <v>97</v>
      </c>
      <c r="O27" s="24">
        <v>98.3</v>
      </c>
      <c r="P27" s="3">
        <v>8.9999999999999976E-4</v>
      </c>
      <c r="Q27" s="4">
        <v>4.2500000000000003E-3</v>
      </c>
      <c r="R27" s="4">
        <v>1.005E-2</v>
      </c>
      <c r="S27" s="4">
        <v>1.435E-2</v>
      </c>
    </row>
    <row r="28" spans="1:19" ht="14.25" customHeight="1">
      <c r="A28" s="159" t="s">
        <v>94</v>
      </c>
      <c r="B28" s="17" t="s">
        <v>89</v>
      </c>
      <c r="C28" s="158" t="s">
        <v>113</v>
      </c>
      <c r="D28" s="109">
        <v>-45.402680140543957</v>
      </c>
      <c r="E28" s="109">
        <v>-23.806687652148753</v>
      </c>
      <c r="F28" s="18">
        <v>2001</v>
      </c>
      <c r="G28" s="19" t="s">
        <v>90</v>
      </c>
      <c r="H28" s="18" t="s">
        <v>177</v>
      </c>
      <c r="I28" s="17" t="s">
        <v>91</v>
      </c>
      <c r="J28" s="3" t="s">
        <v>92</v>
      </c>
      <c r="K28" s="5">
        <v>1500</v>
      </c>
      <c r="L28" s="17">
        <v>0.01</v>
      </c>
      <c r="M28" s="17" t="s">
        <v>80</v>
      </c>
      <c r="N28" s="17" t="s">
        <v>97</v>
      </c>
      <c r="O28" s="24">
        <v>99.2</v>
      </c>
      <c r="P28" s="3">
        <v>2.9999999999999992E-4</v>
      </c>
      <c r="Q28" s="4">
        <v>4.4000000000000003E-3</v>
      </c>
      <c r="R28" s="4">
        <v>7.4200000000000004E-3</v>
      </c>
      <c r="S28" s="4">
        <v>9.2099999999999994E-3</v>
      </c>
    </row>
    <row r="29" spans="1:19" ht="14.25" customHeight="1">
      <c r="A29" s="159" t="s">
        <v>94</v>
      </c>
      <c r="B29" s="17" t="s">
        <v>89</v>
      </c>
      <c r="C29" s="158" t="s">
        <v>112</v>
      </c>
      <c r="D29" s="109">
        <v>-49.381347685025794</v>
      </c>
      <c r="E29" s="109">
        <v>-20.812636500000004</v>
      </c>
      <c r="F29" s="18">
        <v>2001</v>
      </c>
      <c r="G29" s="19" t="s">
        <v>90</v>
      </c>
      <c r="H29" s="18" t="s">
        <v>177</v>
      </c>
      <c r="I29" s="17" t="s">
        <v>91</v>
      </c>
      <c r="J29" s="3" t="s">
        <v>92</v>
      </c>
      <c r="K29" s="5">
        <v>1200</v>
      </c>
      <c r="L29" s="17">
        <v>0.01</v>
      </c>
      <c r="M29" s="17" t="s">
        <v>80</v>
      </c>
      <c r="N29" s="17" t="s">
        <v>97</v>
      </c>
      <c r="O29" s="24">
        <v>95.9</v>
      </c>
      <c r="P29" s="3">
        <v>3.9999999999999931E-4</v>
      </c>
      <c r="Q29" s="3">
        <v>4.9800000000000001E-3</v>
      </c>
      <c r="R29" s="3">
        <v>8.8800000000000007E-3</v>
      </c>
      <c r="S29" s="3">
        <v>1.129E-2</v>
      </c>
    </row>
    <row r="30" spans="1:19" ht="14.25" customHeight="1">
      <c r="A30" s="159" t="s">
        <v>94</v>
      </c>
      <c r="B30" s="17" t="s">
        <v>89</v>
      </c>
      <c r="C30" s="158" t="s">
        <v>95</v>
      </c>
      <c r="D30" s="109">
        <v>-46.570383182112749</v>
      </c>
      <c r="E30" s="109">
        <v>-23.567386500000001</v>
      </c>
      <c r="F30" s="18">
        <v>2001</v>
      </c>
      <c r="G30" s="19" t="s">
        <v>90</v>
      </c>
      <c r="H30" s="18" t="s">
        <v>177</v>
      </c>
      <c r="I30" s="17" t="s">
        <v>91</v>
      </c>
      <c r="J30" s="3" t="s">
        <v>92</v>
      </c>
      <c r="K30" s="5">
        <v>1800</v>
      </c>
      <c r="L30" s="17">
        <v>0.01</v>
      </c>
      <c r="M30" s="17" t="s">
        <v>80</v>
      </c>
      <c r="N30" s="17" t="s">
        <v>97</v>
      </c>
      <c r="O30" s="24">
        <v>96.2</v>
      </c>
      <c r="P30" s="3">
        <v>3.9999999999999931E-4</v>
      </c>
      <c r="Q30" s="4">
        <v>4.8700000000000002E-3</v>
      </c>
      <c r="R30" s="4">
        <v>8.6400000000000001E-3</v>
      </c>
      <c r="S30" s="4">
        <v>1.095E-2</v>
      </c>
    </row>
    <row r="31" spans="1:19" ht="14.25" customHeight="1" thickBot="1">
      <c r="A31" s="11" t="s">
        <v>94</v>
      </c>
      <c r="B31" s="21" t="s">
        <v>89</v>
      </c>
      <c r="C31" s="11" t="s">
        <v>146</v>
      </c>
      <c r="D31" s="110">
        <v>-54.58710248860465</v>
      </c>
      <c r="E31" s="110">
        <v>-25.542493279529253</v>
      </c>
      <c r="F31" s="21">
        <v>2001</v>
      </c>
      <c r="G31" s="22" t="s">
        <v>90</v>
      </c>
      <c r="H31" s="21" t="s">
        <v>177</v>
      </c>
      <c r="I31" s="21" t="s">
        <v>91</v>
      </c>
      <c r="J31" s="13" t="s">
        <v>92</v>
      </c>
      <c r="K31" s="6">
        <v>1200</v>
      </c>
      <c r="L31" s="21">
        <v>0.01</v>
      </c>
      <c r="M31" s="21" t="s">
        <v>80</v>
      </c>
      <c r="N31" s="21" t="s">
        <v>97</v>
      </c>
      <c r="O31" s="25">
        <v>99.5</v>
      </c>
      <c r="P31" s="115">
        <f>STDEV(100,96,89.5,99,100,99,100)</f>
        <v>3.8591264740686446</v>
      </c>
      <c r="Q31" s="11"/>
      <c r="R31" s="11"/>
      <c r="S31" s="11"/>
    </row>
    <row r="32" spans="1:19" ht="14.25" customHeight="1">
      <c r="A32" s="159" t="s">
        <v>94</v>
      </c>
      <c r="B32" s="17" t="s">
        <v>89</v>
      </c>
      <c r="C32" s="20" t="s">
        <v>124</v>
      </c>
      <c r="D32" s="261"/>
      <c r="E32" s="262"/>
      <c r="F32" s="18">
        <v>2001</v>
      </c>
      <c r="G32" s="19" t="s">
        <v>90</v>
      </c>
      <c r="H32" s="18" t="s">
        <v>187</v>
      </c>
      <c r="I32" s="17" t="s">
        <v>91</v>
      </c>
      <c r="J32" s="18" t="s">
        <v>93</v>
      </c>
      <c r="K32" s="18">
        <v>1200</v>
      </c>
      <c r="L32" s="18">
        <v>0.2</v>
      </c>
      <c r="M32" s="17" t="s">
        <v>80</v>
      </c>
      <c r="N32" s="17" t="s">
        <v>97</v>
      </c>
      <c r="O32" s="51">
        <v>100</v>
      </c>
      <c r="P32" s="23">
        <v>5.1999999999999963E-3</v>
      </c>
      <c r="Q32" s="4">
        <v>3.0269999999999998E-2</v>
      </c>
      <c r="R32" s="4">
        <v>6.7860000000000004E-2</v>
      </c>
      <c r="S32" s="4">
        <v>9.4820000000000002E-2</v>
      </c>
    </row>
    <row r="33" spans="1:19" ht="14.25" customHeight="1">
      <c r="A33" s="159" t="s">
        <v>94</v>
      </c>
      <c r="B33" s="17" t="s">
        <v>89</v>
      </c>
      <c r="C33" s="158" t="s">
        <v>100</v>
      </c>
      <c r="D33" s="109">
        <v>-50.439226072752582</v>
      </c>
      <c r="E33" s="109">
        <v>-21.205476000000004</v>
      </c>
      <c r="F33" s="18">
        <v>2001</v>
      </c>
      <c r="G33" s="19" t="s">
        <v>90</v>
      </c>
      <c r="H33" s="18" t="s">
        <v>177</v>
      </c>
      <c r="I33" s="17" t="s">
        <v>91</v>
      </c>
      <c r="J33" s="18" t="s">
        <v>93</v>
      </c>
      <c r="K33" s="18">
        <v>1500</v>
      </c>
      <c r="L33" s="18">
        <v>0.2</v>
      </c>
      <c r="M33" s="17" t="s">
        <v>80</v>
      </c>
      <c r="N33" s="17" t="s">
        <v>97</v>
      </c>
      <c r="O33" s="24">
        <v>99.8</v>
      </c>
      <c r="P33" s="23">
        <v>7.5999999999999956E-3</v>
      </c>
      <c r="Q33" s="4">
        <v>6.3740000000000005E-2</v>
      </c>
      <c r="R33" s="4">
        <v>0.11494</v>
      </c>
      <c r="S33" s="4">
        <v>0.14674000000000001</v>
      </c>
    </row>
    <row r="34" spans="1:19" ht="14.25" customHeight="1">
      <c r="A34" s="159" t="s">
        <v>94</v>
      </c>
      <c r="B34" s="17" t="s">
        <v>89</v>
      </c>
      <c r="C34" s="158" t="s">
        <v>101</v>
      </c>
      <c r="D34" s="109">
        <v>-48.567377839455055</v>
      </c>
      <c r="E34" s="109">
        <v>-20.558455515000002</v>
      </c>
      <c r="F34" s="18">
        <v>2001</v>
      </c>
      <c r="G34" s="19" t="s">
        <v>90</v>
      </c>
      <c r="H34" s="18" t="s">
        <v>177</v>
      </c>
      <c r="I34" s="17" t="s">
        <v>91</v>
      </c>
      <c r="J34" s="18" t="s">
        <v>93</v>
      </c>
      <c r="K34" s="18">
        <v>1200</v>
      </c>
      <c r="L34" s="18">
        <v>0.2</v>
      </c>
      <c r="M34" s="17" t="s">
        <v>80</v>
      </c>
      <c r="N34" s="17" t="s">
        <v>97</v>
      </c>
      <c r="O34" s="24">
        <v>99.6</v>
      </c>
      <c r="P34" s="23">
        <v>1.0899999999999993E-2</v>
      </c>
      <c r="Q34" s="4">
        <v>7.041E-2</v>
      </c>
      <c r="R34" s="4">
        <v>0.14748</v>
      </c>
      <c r="S34" s="4">
        <v>0.20033999999999999</v>
      </c>
    </row>
    <row r="35" spans="1:19" ht="14.25" customHeight="1">
      <c r="A35" s="159" t="s">
        <v>94</v>
      </c>
      <c r="B35" s="17" t="s">
        <v>89</v>
      </c>
      <c r="C35" s="158" t="s">
        <v>102</v>
      </c>
      <c r="D35" s="109">
        <v>-49.083000867090362</v>
      </c>
      <c r="E35" s="109">
        <v>-22.325122500000006</v>
      </c>
      <c r="F35" s="18">
        <v>2001</v>
      </c>
      <c r="G35" s="19" t="s">
        <v>90</v>
      </c>
      <c r="H35" s="18" t="s">
        <v>177</v>
      </c>
      <c r="I35" s="17" t="s">
        <v>91</v>
      </c>
      <c r="J35" s="18" t="s">
        <v>93</v>
      </c>
      <c r="K35" s="18">
        <v>1500</v>
      </c>
      <c r="L35" s="18">
        <v>0.2</v>
      </c>
      <c r="M35" s="17" t="s">
        <v>80</v>
      </c>
      <c r="N35" s="17" t="s">
        <v>97</v>
      </c>
      <c r="O35" s="51">
        <v>100</v>
      </c>
      <c r="P35" s="23">
        <v>5.7999999999999996E-3</v>
      </c>
      <c r="Q35" s="4">
        <v>3.848E-2</v>
      </c>
      <c r="R35" s="4">
        <v>8.2239999999999994E-2</v>
      </c>
      <c r="S35" s="4">
        <v>0.12640000000000001</v>
      </c>
    </row>
    <row r="36" spans="1:19" ht="14.25" customHeight="1">
      <c r="A36" s="159" t="s">
        <v>94</v>
      </c>
      <c r="B36" s="17" t="s">
        <v>89</v>
      </c>
      <c r="C36" s="158" t="s">
        <v>103</v>
      </c>
      <c r="D36" s="109">
        <v>-48.441289384350434</v>
      </c>
      <c r="E36" s="109">
        <v>-22.888381500000008</v>
      </c>
      <c r="F36" s="18">
        <v>2001</v>
      </c>
      <c r="G36" s="19" t="s">
        <v>90</v>
      </c>
      <c r="H36" s="18" t="s">
        <v>177</v>
      </c>
      <c r="I36" s="17" t="s">
        <v>91</v>
      </c>
      <c r="J36" s="18" t="s">
        <v>93</v>
      </c>
      <c r="K36" s="18">
        <v>1200</v>
      </c>
      <c r="L36" s="18">
        <v>0.2</v>
      </c>
      <c r="M36" s="17" t="s">
        <v>80</v>
      </c>
      <c r="N36" s="17" t="s">
        <v>97</v>
      </c>
      <c r="O36" s="24">
        <v>98.9</v>
      </c>
      <c r="P36" s="23">
        <v>1.0899999999999993E-2</v>
      </c>
      <c r="Q36" s="4">
        <v>7.6990000000000003E-2</v>
      </c>
      <c r="R36" s="4">
        <v>0.15669</v>
      </c>
      <c r="S36" s="4">
        <v>0.21032999999999999</v>
      </c>
    </row>
    <row r="37" spans="1:19" ht="14.25" customHeight="1">
      <c r="A37" s="159" t="s">
        <v>94</v>
      </c>
      <c r="B37" s="17" t="s">
        <v>89</v>
      </c>
      <c r="C37" s="158" t="s">
        <v>104</v>
      </c>
      <c r="D37" s="109">
        <v>-47.06015627297316</v>
      </c>
      <c r="E37" s="109">
        <v>-22.907342500000002</v>
      </c>
      <c r="F37" s="18">
        <v>2001</v>
      </c>
      <c r="G37" s="19" t="s">
        <v>90</v>
      </c>
      <c r="H37" s="18" t="s">
        <v>177</v>
      </c>
      <c r="I37" s="17" t="s">
        <v>91</v>
      </c>
      <c r="J37" s="18" t="s">
        <v>93</v>
      </c>
      <c r="K37" s="18">
        <v>1200</v>
      </c>
      <c r="L37" s="18">
        <v>0.2</v>
      </c>
      <c r="M37" s="17" t="s">
        <v>80</v>
      </c>
      <c r="N37" s="17" t="s">
        <v>97</v>
      </c>
      <c r="O37" s="51">
        <v>100</v>
      </c>
      <c r="P37" s="23">
        <v>6.5999999999999948E-3</v>
      </c>
      <c r="Q37" s="4">
        <v>5.1869999999999999E-2</v>
      </c>
      <c r="R37" s="4">
        <v>0.1055</v>
      </c>
      <c r="S37" s="4">
        <v>0.14158000000000001</v>
      </c>
    </row>
    <row r="38" spans="1:19" ht="14.25" customHeight="1">
      <c r="A38" s="159" t="s">
        <v>94</v>
      </c>
      <c r="B38" s="17" t="s">
        <v>89</v>
      </c>
      <c r="C38" s="158" t="s">
        <v>107</v>
      </c>
      <c r="D38" s="109">
        <v>-49.951645643103269</v>
      </c>
      <c r="E38" s="109">
        <v>-22.122743500000002</v>
      </c>
      <c r="F38" s="18">
        <v>2001</v>
      </c>
      <c r="G38" s="19" t="s">
        <v>90</v>
      </c>
      <c r="H38" s="18" t="s">
        <v>177</v>
      </c>
      <c r="I38" s="17" t="s">
        <v>91</v>
      </c>
      <c r="J38" s="18" t="s">
        <v>93</v>
      </c>
      <c r="K38" s="18">
        <v>1200</v>
      </c>
      <c r="L38" s="18">
        <v>0.2</v>
      </c>
      <c r="M38" s="17" t="s">
        <v>80</v>
      </c>
      <c r="N38" s="17" t="s">
        <v>97</v>
      </c>
      <c r="O38" s="51">
        <v>100</v>
      </c>
      <c r="P38" s="23">
        <v>8.4999999999999937E-3</v>
      </c>
      <c r="Q38" s="4">
        <v>7.1050000000000002E-2</v>
      </c>
      <c r="R38" s="4">
        <v>0.12253</v>
      </c>
      <c r="S38" s="4">
        <v>0.15357999999999999</v>
      </c>
    </row>
    <row r="39" spans="1:19" ht="14.25" customHeight="1">
      <c r="A39" s="159" t="s">
        <v>94</v>
      </c>
      <c r="B39" s="17" t="s">
        <v>89</v>
      </c>
      <c r="C39" s="158" t="s">
        <v>108</v>
      </c>
      <c r="D39" s="109">
        <v>-51.386765581912492</v>
      </c>
      <c r="E39" s="109">
        <v>-24.494251427999906</v>
      </c>
      <c r="F39" s="18">
        <v>2001</v>
      </c>
      <c r="G39" s="19" t="s">
        <v>90</v>
      </c>
      <c r="H39" s="18" t="s">
        <v>177</v>
      </c>
      <c r="I39" s="17" t="s">
        <v>91</v>
      </c>
      <c r="J39" s="18" t="s">
        <v>93</v>
      </c>
      <c r="K39" s="18">
        <v>1200</v>
      </c>
      <c r="L39" s="18">
        <v>0.2</v>
      </c>
      <c r="M39" s="17" t="s">
        <v>80</v>
      </c>
      <c r="N39" s="17" t="s">
        <v>97</v>
      </c>
      <c r="O39" s="51">
        <v>100</v>
      </c>
      <c r="P39" s="23">
        <v>7.5000000000000067E-3</v>
      </c>
      <c r="Q39" s="4">
        <v>5.4129999999999998E-2</v>
      </c>
      <c r="R39" s="4">
        <v>9.9390000000000006E-2</v>
      </c>
      <c r="S39" s="4">
        <v>0.12784999999999999</v>
      </c>
    </row>
    <row r="40" spans="1:19" ht="14.25" customHeight="1">
      <c r="A40" s="159" t="s">
        <v>94</v>
      </c>
      <c r="B40" s="17" t="s">
        <v>89</v>
      </c>
      <c r="C40" s="158" t="s">
        <v>109</v>
      </c>
      <c r="D40" s="109">
        <v>-47.805475915541528</v>
      </c>
      <c r="E40" s="109">
        <v>-21.184834500000004</v>
      </c>
      <c r="F40" s="18">
        <v>2001</v>
      </c>
      <c r="G40" s="19" t="s">
        <v>90</v>
      </c>
      <c r="H40" s="18" t="s">
        <v>177</v>
      </c>
      <c r="I40" s="17" t="s">
        <v>91</v>
      </c>
      <c r="J40" s="18" t="s">
        <v>93</v>
      </c>
      <c r="K40" s="18">
        <v>1500</v>
      </c>
      <c r="L40" s="18">
        <v>0.2</v>
      </c>
      <c r="M40" s="17" t="s">
        <v>80</v>
      </c>
      <c r="N40" s="17" t="s">
        <v>97</v>
      </c>
      <c r="O40" s="24">
        <v>98.2</v>
      </c>
      <c r="P40" s="23">
        <v>7.1999999999999981E-3</v>
      </c>
      <c r="Q40" s="4">
        <v>5.9990000000000002E-2</v>
      </c>
      <c r="R40" s="4">
        <v>0.10773000000000001</v>
      </c>
      <c r="S40" s="4">
        <v>0.13730000000000001</v>
      </c>
    </row>
    <row r="41" spans="1:19" ht="14.25" customHeight="1">
      <c r="A41" s="159" t="s">
        <v>94</v>
      </c>
      <c r="B41" s="17" t="s">
        <v>89</v>
      </c>
      <c r="C41" s="158" t="s">
        <v>110</v>
      </c>
      <c r="D41" s="109">
        <v>-46.331370849190684</v>
      </c>
      <c r="E41" s="109">
        <v>-23.933737500000003</v>
      </c>
      <c r="F41" s="18">
        <v>2001</v>
      </c>
      <c r="G41" s="19" t="s">
        <v>90</v>
      </c>
      <c r="H41" s="18" t="s">
        <v>177</v>
      </c>
      <c r="I41" s="17" t="s">
        <v>91</v>
      </c>
      <c r="J41" s="18" t="s">
        <v>93</v>
      </c>
      <c r="K41" s="18">
        <v>1200</v>
      </c>
      <c r="L41" s="18">
        <v>0.2</v>
      </c>
      <c r="M41" s="17" t="s">
        <v>80</v>
      </c>
      <c r="N41" s="17" t="s">
        <v>97</v>
      </c>
      <c r="O41" s="24">
        <v>99.5</v>
      </c>
      <c r="P41" s="23">
        <v>1.0999999999999982E-2</v>
      </c>
      <c r="Q41" s="4">
        <v>6.4430000000000001E-2</v>
      </c>
      <c r="R41" s="4">
        <v>0.15512000000000001</v>
      </c>
      <c r="S41" s="4">
        <v>0.22323000000000001</v>
      </c>
    </row>
    <row r="42" spans="1:19" ht="14.25" customHeight="1">
      <c r="A42" s="159" t="s">
        <v>94</v>
      </c>
      <c r="B42" s="17" t="s">
        <v>89</v>
      </c>
      <c r="C42" s="158" t="s">
        <v>127</v>
      </c>
      <c r="D42" s="109">
        <v>-46.922092505649722</v>
      </c>
      <c r="E42" s="109">
        <v>-23.933737500000003</v>
      </c>
      <c r="F42" s="18">
        <v>2001</v>
      </c>
      <c r="G42" s="19" t="s">
        <v>90</v>
      </c>
      <c r="H42" s="18" t="s">
        <v>177</v>
      </c>
      <c r="I42" s="17" t="s">
        <v>91</v>
      </c>
      <c r="J42" s="18" t="s">
        <v>93</v>
      </c>
      <c r="K42" s="18">
        <v>1200</v>
      </c>
      <c r="L42" s="18">
        <v>0.2</v>
      </c>
      <c r="M42" s="17" t="s">
        <v>80</v>
      </c>
      <c r="N42" s="17" t="s">
        <v>97</v>
      </c>
      <c r="O42" s="51">
        <v>100</v>
      </c>
      <c r="P42" s="23">
        <v>7.3999999999999899E-3</v>
      </c>
      <c r="Q42" s="4">
        <v>6.6189999999999999E-2</v>
      </c>
      <c r="R42" s="4">
        <v>0.12806000000000001</v>
      </c>
      <c r="S42" s="4">
        <v>0.16833000000000001</v>
      </c>
    </row>
    <row r="43" spans="1:19" ht="14.25" customHeight="1">
      <c r="A43" s="159" t="s">
        <v>94</v>
      </c>
      <c r="B43" s="17" t="s">
        <v>89</v>
      </c>
      <c r="C43" s="158" t="s">
        <v>113</v>
      </c>
      <c r="D43" s="109">
        <v>-45.402680140543957</v>
      </c>
      <c r="E43" s="109">
        <v>-23.806687652148753</v>
      </c>
      <c r="F43" s="18">
        <v>2001</v>
      </c>
      <c r="G43" s="19" t="s">
        <v>90</v>
      </c>
      <c r="H43" s="18" t="s">
        <v>177</v>
      </c>
      <c r="I43" s="17" t="s">
        <v>91</v>
      </c>
      <c r="J43" s="18" t="s">
        <v>93</v>
      </c>
      <c r="K43" s="18">
        <v>1500</v>
      </c>
      <c r="L43" s="18">
        <v>0.2</v>
      </c>
      <c r="M43" s="17" t="s">
        <v>80</v>
      </c>
      <c r="N43" s="17" t="s">
        <v>97</v>
      </c>
      <c r="O43" s="24">
        <v>99.9</v>
      </c>
      <c r="P43" s="23">
        <v>7.4000000000000038E-3</v>
      </c>
      <c r="Q43" s="4">
        <v>7.1590000000000001E-2</v>
      </c>
      <c r="R43" s="4">
        <v>0.12931999999999999</v>
      </c>
      <c r="S43" s="4">
        <v>0.16522999999999999</v>
      </c>
    </row>
    <row r="44" spans="1:19" ht="14.25" customHeight="1">
      <c r="A44" s="159" t="s">
        <v>94</v>
      </c>
      <c r="B44" s="17" t="s">
        <v>89</v>
      </c>
      <c r="C44" s="158" t="s">
        <v>112</v>
      </c>
      <c r="D44" s="109">
        <v>-49.381347685025794</v>
      </c>
      <c r="E44" s="109">
        <v>-20.812636500000004</v>
      </c>
      <c r="F44" s="18">
        <v>2001</v>
      </c>
      <c r="G44" s="19" t="s">
        <v>90</v>
      </c>
      <c r="H44" s="18" t="s">
        <v>177</v>
      </c>
      <c r="I44" s="17" t="s">
        <v>91</v>
      </c>
      <c r="J44" s="18" t="s">
        <v>93</v>
      </c>
      <c r="K44" s="18">
        <v>1500</v>
      </c>
      <c r="L44" s="18">
        <v>0.2</v>
      </c>
      <c r="M44" s="17" t="s">
        <v>80</v>
      </c>
      <c r="N44" s="17" t="s">
        <v>97</v>
      </c>
      <c r="O44" s="24">
        <v>99.3</v>
      </c>
      <c r="P44" s="23">
        <v>1.0099999999999998E-2</v>
      </c>
      <c r="Q44" s="4">
        <v>7.6740000000000003E-2</v>
      </c>
      <c r="R44" s="4">
        <v>0.15481</v>
      </c>
      <c r="S44" s="4">
        <v>0.20704</v>
      </c>
    </row>
    <row r="45" spans="1:19" ht="14.25" customHeight="1">
      <c r="A45" s="159" t="s">
        <v>94</v>
      </c>
      <c r="B45" s="17" t="s">
        <v>89</v>
      </c>
      <c r="C45" s="158" t="s">
        <v>95</v>
      </c>
      <c r="D45" s="109">
        <v>-46.570383182112749</v>
      </c>
      <c r="E45" s="109">
        <v>-23.567386500000001</v>
      </c>
      <c r="F45" s="18">
        <v>2001</v>
      </c>
      <c r="G45" s="19" t="s">
        <v>90</v>
      </c>
      <c r="H45" s="18" t="s">
        <v>177</v>
      </c>
      <c r="I45" s="17" t="s">
        <v>91</v>
      </c>
      <c r="J45" s="18" t="s">
        <v>93</v>
      </c>
      <c r="K45" s="18">
        <v>1500</v>
      </c>
      <c r="L45" s="18">
        <v>0.2</v>
      </c>
      <c r="M45" s="17" t="s">
        <v>80</v>
      </c>
      <c r="N45" s="17" t="s">
        <v>97</v>
      </c>
      <c r="O45" s="51">
        <v>100</v>
      </c>
      <c r="P45" s="23">
        <v>8.0999999999999822E-3</v>
      </c>
      <c r="Q45" s="4">
        <v>6.1280000000000001E-2</v>
      </c>
      <c r="R45" s="4">
        <v>0.12837000000000001</v>
      </c>
      <c r="S45" s="4">
        <v>0.17438999999999999</v>
      </c>
    </row>
    <row r="46" spans="1:19" ht="14.25" customHeight="1" thickBot="1">
      <c r="A46" s="11" t="s">
        <v>94</v>
      </c>
      <c r="B46" s="21" t="s">
        <v>89</v>
      </c>
      <c r="C46" s="11" t="s">
        <v>146</v>
      </c>
      <c r="D46" s="110">
        <v>-54.58710248860465</v>
      </c>
      <c r="E46" s="110">
        <v>-25.542493279529253</v>
      </c>
      <c r="F46" s="21">
        <v>2001</v>
      </c>
      <c r="G46" s="22" t="s">
        <v>90</v>
      </c>
      <c r="H46" s="21" t="s">
        <v>177</v>
      </c>
      <c r="I46" s="21" t="s">
        <v>91</v>
      </c>
      <c r="J46" s="21" t="s">
        <v>93</v>
      </c>
      <c r="K46" s="21">
        <v>1200</v>
      </c>
      <c r="L46" s="21">
        <v>0.2</v>
      </c>
      <c r="M46" s="21" t="s">
        <v>80</v>
      </c>
      <c r="N46" s="21" t="s">
        <v>97</v>
      </c>
      <c r="O46" s="52">
        <v>100</v>
      </c>
      <c r="P46" s="29">
        <v>5.1000000000000073E-3</v>
      </c>
      <c r="Q46" s="29">
        <v>3.9129999999999998E-2</v>
      </c>
      <c r="R46" s="29">
        <v>7.2400000000000006E-2</v>
      </c>
      <c r="S46" s="29">
        <v>9.3420000000000003E-2</v>
      </c>
    </row>
    <row r="47" spans="1:19" ht="14.25" customHeight="1">
      <c r="A47" s="159" t="s">
        <v>94</v>
      </c>
      <c r="B47" s="17" t="s">
        <v>89</v>
      </c>
      <c r="C47" s="20" t="s">
        <v>124</v>
      </c>
      <c r="D47" s="261"/>
      <c r="E47" s="262"/>
      <c r="F47" s="17">
        <v>2001</v>
      </c>
      <c r="G47" s="19" t="s">
        <v>90</v>
      </c>
      <c r="H47" s="17" t="s">
        <v>188</v>
      </c>
      <c r="I47" s="17" t="s">
        <v>91</v>
      </c>
      <c r="J47" s="1" t="s">
        <v>20</v>
      </c>
      <c r="K47" s="18">
        <v>600</v>
      </c>
      <c r="L47" s="158">
        <v>18.25</v>
      </c>
      <c r="M47" s="111" t="s">
        <v>50</v>
      </c>
      <c r="N47" s="2" t="s">
        <v>88</v>
      </c>
      <c r="O47" s="51">
        <v>100</v>
      </c>
      <c r="P47" s="10">
        <v>0</v>
      </c>
      <c r="Q47" s="9"/>
      <c r="R47" s="17"/>
    </row>
    <row r="48" spans="1:19" ht="14.25" customHeight="1">
      <c r="A48" s="137" t="s">
        <v>7</v>
      </c>
      <c r="B48" s="17" t="s">
        <v>89</v>
      </c>
      <c r="C48" s="158" t="s">
        <v>100</v>
      </c>
      <c r="D48" s="109">
        <v>-50.439226072752582</v>
      </c>
      <c r="E48" s="109">
        <v>-21.205476000000004</v>
      </c>
      <c r="F48" s="17">
        <v>2001</v>
      </c>
      <c r="G48" s="19" t="s">
        <v>90</v>
      </c>
      <c r="H48" s="17" t="s">
        <v>188</v>
      </c>
      <c r="I48" s="17" t="s">
        <v>91</v>
      </c>
      <c r="J48" s="1" t="s">
        <v>20</v>
      </c>
      <c r="K48" s="18">
        <v>600</v>
      </c>
      <c r="L48" s="158">
        <v>36.5</v>
      </c>
      <c r="M48" s="111" t="s">
        <v>50</v>
      </c>
      <c r="N48" s="2" t="s">
        <v>88</v>
      </c>
      <c r="O48" s="18">
        <v>18.7</v>
      </c>
      <c r="P48" s="10">
        <v>1.5275252316519465</v>
      </c>
      <c r="Q48" s="158"/>
      <c r="R48" s="17"/>
    </row>
    <row r="49" spans="1:22" ht="14.25" customHeight="1">
      <c r="A49" s="137" t="s">
        <v>7</v>
      </c>
      <c r="B49" s="17" t="s">
        <v>89</v>
      </c>
      <c r="C49" s="158" t="s">
        <v>101</v>
      </c>
      <c r="D49" s="109">
        <v>-48.567377839455055</v>
      </c>
      <c r="E49" s="109">
        <v>-20.558455515000002</v>
      </c>
      <c r="F49" s="17">
        <v>2001</v>
      </c>
      <c r="G49" s="19" t="s">
        <v>90</v>
      </c>
      <c r="H49" s="17" t="s">
        <v>188</v>
      </c>
      <c r="I49" s="17" t="s">
        <v>91</v>
      </c>
      <c r="J49" s="1" t="s">
        <v>20</v>
      </c>
      <c r="K49" s="18">
        <v>600</v>
      </c>
      <c r="L49" s="158">
        <v>36.5</v>
      </c>
      <c r="M49" s="111" t="s">
        <v>50</v>
      </c>
      <c r="N49" s="2" t="s">
        <v>88</v>
      </c>
      <c r="O49" s="18">
        <v>33.5</v>
      </c>
      <c r="P49" s="10">
        <v>4.8218253804964775</v>
      </c>
      <c r="Q49" s="158"/>
      <c r="R49" s="17"/>
    </row>
    <row r="50" spans="1:22" ht="14.25" customHeight="1">
      <c r="A50" s="137" t="s">
        <v>7</v>
      </c>
      <c r="B50" s="17" t="s">
        <v>89</v>
      </c>
      <c r="C50" s="158" t="s">
        <v>109</v>
      </c>
      <c r="D50" s="109">
        <v>-47.805475915541528</v>
      </c>
      <c r="E50" s="109">
        <v>-21.184834500000004</v>
      </c>
      <c r="F50" s="17">
        <v>2001</v>
      </c>
      <c r="G50" s="19" t="s">
        <v>90</v>
      </c>
      <c r="H50" s="17" t="s">
        <v>188</v>
      </c>
      <c r="I50" s="17" t="s">
        <v>91</v>
      </c>
      <c r="J50" s="1" t="s">
        <v>20</v>
      </c>
      <c r="K50" s="18">
        <v>600</v>
      </c>
      <c r="L50" s="158">
        <v>36.5</v>
      </c>
      <c r="M50" s="111" t="s">
        <v>50</v>
      </c>
      <c r="N50" s="2" t="s">
        <v>88</v>
      </c>
      <c r="O50" s="18">
        <v>35.299999999999997</v>
      </c>
      <c r="P50" s="10">
        <v>7.3654599313281173</v>
      </c>
      <c r="Q50" s="158"/>
      <c r="R50" s="17"/>
      <c r="U50" s="154"/>
      <c r="V50" s="154"/>
    </row>
    <row r="51" spans="1:22" ht="14.25" customHeight="1">
      <c r="A51" s="137" t="s">
        <v>7</v>
      </c>
      <c r="B51" s="17" t="s">
        <v>89</v>
      </c>
      <c r="C51" s="158" t="s">
        <v>110</v>
      </c>
      <c r="D51" s="109">
        <v>-46.331370849190684</v>
      </c>
      <c r="E51" s="109">
        <v>-23.933737500000003</v>
      </c>
      <c r="F51" s="17">
        <v>2001</v>
      </c>
      <c r="G51" s="19" t="s">
        <v>90</v>
      </c>
      <c r="H51" s="17" t="s">
        <v>188</v>
      </c>
      <c r="I51" s="17" t="s">
        <v>91</v>
      </c>
      <c r="J51" s="1" t="s">
        <v>20</v>
      </c>
      <c r="K51" s="18">
        <v>600</v>
      </c>
      <c r="L51" s="158">
        <v>36.5</v>
      </c>
      <c r="M51" s="111" t="s">
        <v>50</v>
      </c>
      <c r="N51" s="2" t="s">
        <v>88</v>
      </c>
      <c r="O51" s="24">
        <v>46</v>
      </c>
      <c r="P51" s="10">
        <v>2.6457513110645907</v>
      </c>
      <c r="Q51" s="158"/>
      <c r="R51" s="17"/>
      <c r="S51" s="17"/>
      <c r="U51" s="154"/>
    </row>
    <row r="52" spans="1:22" ht="14.25" customHeight="1" thickBot="1">
      <c r="A52" s="145" t="s">
        <v>7</v>
      </c>
      <c r="B52" s="21" t="s">
        <v>89</v>
      </c>
      <c r="C52" s="11" t="s">
        <v>112</v>
      </c>
      <c r="D52" s="110">
        <v>-49.381347685025794</v>
      </c>
      <c r="E52" s="110">
        <v>-20.812636500000004</v>
      </c>
      <c r="F52" s="21">
        <v>2001</v>
      </c>
      <c r="G52" s="22" t="s">
        <v>90</v>
      </c>
      <c r="H52" s="21" t="s">
        <v>188</v>
      </c>
      <c r="I52" s="21" t="s">
        <v>91</v>
      </c>
      <c r="J52" s="49" t="s">
        <v>20</v>
      </c>
      <c r="K52" s="21">
        <v>600</v>
      </c>
      <c r="L52" s="11">
        <v>36.5</v>
      </c>
      <c r="M52" s="114" t="s">
        <v>50</v>
      </c>
      <c r="N52" s="49" t="s">
        <v>88</v>
      </c>
      <c r="O52" s="21">
        <v>34.6</v>
      </c>
      <c r="P52" s="30">
        <v>13.10124039929044</v>
      </c>
      <c r="Q52" s="158"/>
      <c r="R52" s="17"/>
      <c r="S52" s="17"/>
      <c r="U52" s="154"/>
    </row>
    <row r="53" spans="1:22" ht="14.25" customHeight="1">
      <c r="A53" s="159" t="s">
        <v>94</v>
      </c>
      <c r="B53" s="17" t="s">
        <v>89</v>
      </c>
      <c r="C53" s="20" t="s">
        <v>124</v>
      </c>
      <c r="D53" s="261"/>
      <c r="E53" s="262"/>
      <c r="F53" s="17">
        <v>2001</v>
      </c>
      <c r="G53" s="19" t="s">
        <v>90</v>
      </c>
      <c r="H53" s="17" t="s">
        <v>188</v>
      </c>
      <c r="I53" s="17" t="s">
        <v>91</v>
      </c>
      <c r="J53" s="1" t="s">
        <v>93</v>
      </c>
      <c r="K53" s="18">
        <v>600</v>
      </c>
      <c r="L53" s="10">
        <v>146</v>
      </c>
      <c r="M53" s="111" t="s">
        <v>50</v>
      </c>
      <c r="N53" s="2" t="s">
        <v>88</v>
      </c>
      <c r="O53" s="51">
        <v>100</v>
      </c>
      <c r="P53" s="24">
        <v>0</v>
      </c>
      <c r="Q53" s="9"/>
      <c r="R53" s="9"/>
      <c r="S53" s="17"/>
      <c r="U53" s="154"/>
      <c r="V53" s="244"/>
    </row>
    <row r="54" spans="1:22" ht="14.25" customHeight="1">
      <c r="A54" s="159" t="s">
        <v>94</v>
      </c>
      <c r="B54" s="17" t="s">
        <v>89</v>
      </c>
      <c r="C54" s="158" t="s">
        <v>101</v>
      </c>
      <c r="D54" s="109">
        <v>-48.567377839455055</v>
      </c>
      <c r="E54" s="109">
        <v>-20.558455515000002</v>
      </c>
      <c r="F54" s="17">
        <v>2001</v>
      </c>
      <c r="G54" s="19" t="s">
        <v>90</v>
      </c>
      <c r="H54" s="17" t="s">
        <v>188</v>
      </c>
      <c r="I54" s="17" t="s">
        <v>91</v>
      </c>
      <c r="J54" s="1" t="s">
        <v>93</v>
      </c>
      <c r="K54" s="18">
        <v>600</v>
      </c>
      <c r="L54" s="10">
        <v>292</v>
      </c>
      <c r="M54" s="111" t="s">
        <v>50</v>
      </c>
      <c r="N54" s="2" t="s">
        <v>88</v>
      </c>
      <c r="O54" s="18">
        <v>98.4</v>
      </c>
      <c r="P54" s="112">
        <f>STDEV(95.5,100,100,98)</f>
        <v>2.1360009363293826</v>
      </c>
      <c r="Q54" s="158"/>
      <c r="R54" s="158"/>
      <c r="U54" s="154"/>
    </row>
    <row r="55" spans="1:22" ht="14.25" customHeight="1">
      <c r="A55" s="159" t="s">
        <v>94</v>
      </c>
      <c r="B55" s="17" t="s">
        <v>89</v>
      </c>
      <c r="C55" s="158" t="s">
        <v>102</v>
      </c>
      <c r="D55" s="109">
        <v>-49.083000867090362</v>
      </c>
      <c r="E55" s="109">
        <v>-22.325122500000006</v>
      </c>
      <c r="F55" s="17">
        <v>2001</v>
      </c>
      <c r="G55" s="19" t="s">
        <v>90</v>
      </c>
      <c r="H55" s="17" t="s">
        <v>188</v>
      </c>
      <c r="I55" s="17" t="s">
        <v>91</v>
      </c>
      <c r="J55" s="1" t="s">
        <v>93</v>
      </c>
      <c r="K55" s="18">
        <v>600</v>
      </c>
      <c r="L55" s="10">
        <v>292</v>
      </c>
      <c r="M55" s="111" t="s">
        <v>50</v>
      </c>
      <c r="N55" s="2" t="s">
        <v>88</v>
      </c>
      <c r="O55" s="18">
        <v>99.5</v>
      </c>
      <c r="P55" s="112">
        <f>STDEV(99,99,100,100)</f>
        <v>0.57735026918962573</v>
      </c>
      <c r="Q55" s="158"/>
      <c r="R55" s="158"/>
      <c r="U55" s="154"/>
      <c r="V55" s="244"/>
    </row>
    <row r="56" spans="1:22" ht="14.25" customHeight="1">
      <c r="A56" s="159" t="s">
        <v>94</v>
      </c>
      <c r="B56" s="17" t="s">
        <v>89</v>
      </c>
      <c r="C56" s="158" t="s">
        <v>109</v>
      </c>
      <c r="D56" s="109">
        <v>-47.805475915541528</v>
      </c>
      <c r="E56" s="109">
        <v>-21.184834500000004</v>
      </c>
      <c r="F56" s="17">
        <v>2001</v>
      </c>
      <c r="G56" s="19" t="s">
        <v>90</v>
      </c>
      <c r="H56" s="17" t="s">
        <v>188</v>
      </c>
      <c r="I56" s="17" t="s">
        <v>91</v>
      </c>
      <c r="J56" s="1" t="s">
        <v>93</v>
      </c>
      <c r="K56" s="18">
        <v>600</v>
      </c>
      <c r="L56" s="10">
        <v>292</v>
      </c>
      <c r="M56" s="111" t="s">
        <v>50</v>
      </c>
      <c r="N56" s="2" t="s">
        <v>88</v>
      </c>
      <c r="O56" s="18">
        <v>99.8</v>
      </c>
      <c r="P56" s="112">
        <f>STDEV(99,100,100,100)</f>
        <v>0.5</v>
      </c>
      <c r="Q56" s="158"/>
      <c r="R56" s="158"/>
      <c r="U56" s="154"/>
    </row>
    <row r="57" spans="1:22" ht="14.25" customHeight="1">
      <c r="A57" s="159" t="s">
        <v>94</v>
      </c>
      <c r="B57" s="17" t="s">
        <v>89</v>
      </c>
      <c r="C57" s="158" t="s">
        <v>127</v>
      </c>
      <c r="D57" s="109">
        <v>-46.922092505649722</v>
      </c>
      <c r="E57" s="109">
        <v>-23.933737500000003</v>
      </c>
      <c r="F57" s="17">
        <v>2001</v>
      </c>
      <c r="G57" s="19" t="s">
        <v>90</v>
      </c>
      <c r="H57" s="17" t="s">
        <v>188</v>
      </c>
      <c r="I57" s="17" t="s">
        <v>91</v>
      </c>
      <c r="J57" s="1" t="s">
        <v>93</v>
      </c>
      <c r="K57" s="18">
        <v>600</v>
      </c>
      <c r="L57" s="10">
        <v>292</v>
      </c>
      <c r="M57" s="111" t="s">
        <v>50</v>
      </c>
      <c r="N57" s="2" t="s">
        <v>88</v>
      </c>
      <c r="O57" s="24">
        <v>99.5</v>
      </c>
      <c r="P57" s="112">
        <f>STDEV(100,100,98,100)</f>
        <v>1</v>
      </c>
      <c r="Q57" s="158"/>
      <c r="R57" s="158"/>
      <c r="U57" s="154"/>
    </row>
    <row r="58" spans="1:22" ht="14.25" customHeight="1">
      <c r="A58" s="159" t="s">
        <v>94</v>
      </c>
      <c r="B58" s="17" t="s">
        <v>89</v>
      </c>
      <c r="C58" s="158" t="s">
        <v>112</v>
      </c>
      <c r="D58" s="109">
        <v>-49.381347685025794</v>
      </c>
      <c r="E58" s="109">
        <v>-20.812636500000004</v>
      </c>
      <c r="F58" s="17">
        <v>2001</v>
      </c>
      <c r="G58" s="19" t="s">
        <v>90</v>
      </c>
      <c r="H58" s="17" t="s">
        <v>188</v>
      </c>
      <c r="I58" s="17" t="s">
        <v>91</v>
      </c>
      <c r="J58" s="1" t="s">
        <v>93</v>
      </c>
      <c r="K58" s="17">
        <v>600</v>
      </c>
      <c r="L58" s="10">
        <v>292</v>
      </c>
      <c r="M58" s="111" t="s">
        <v>50</v>
      </c>
      <c r="N58" s="1" t="s">
        <v>88</v>
      </c>
      <c r="O58" s="17">
        <v>100</v>
      </c>
      <c r="P58" s="24">
        <v>0</v>
      </c>
      <c r="Q58" s="158"/>
      <c r="R58" s="158"/>
    </row>
    <row r="59" spans="1:22" ht="14.25" customHeight="1" thickBot="1">
      <c r="A59" s="159" t="s">
        <v>94</v>
      </c>
      <c r="B59" s="21" t="s">
        <v>89</v>
      </c>
      <c r="C59" s="11" t="s">
        <v>113</v>
      </c>
      <c r="D59" s="110">
        <v>-45.402680140543957</v>
      </c>
      <c r="E59" s="110">
        <v>-23.806687652148753</v>
      </c>
      <c r="F59" s="21">
        <v>2001</v>
      </c>
      <c r="G59" s="22" t="s">
        <v>90</v>
      </c>
      <c r="H59" s="21" t="s">
        <v>188</v>
      </c>
      <c r="I59" s="21" t="s">
        <v>91</v>
      </c>
      <c r="J59" s="49" t="s">
        <v>93</v>
      </c>
      <c r="K59" s="21">
        <v>600</v>
      </c>
      <c r="L59" s="30">
        <v>292</v>
      </c>
      <c r="M59" s="114" t="s">
        <v>50</v>
      </c>
      <c r="N59" s="49" t="s">
        <v>88</v>
      </c>
      <c r="O59" s="21">
        <v>95.8</v>
      </c>
      <c r="P59" s="115">
        <f>STDEV(95,96,96,96)</f>
        <v>0.5</v>
      </c>
      <c r="Q59" s="158"/>
      <c r="R59" s="158"/>
    </row>
    <row r="60" spans="1:22" ht="14.25" customHeight="1">
      <c r="Q60" s="17"/>
      <c r="R60" s="17"/>
    </row>
    <row r="61" spans="1:22" ht="14.25" customHeight="1">
      <c r="J61" s="17"/>
      <c r="Q61" s="17"/>
      <c r="R61" s="17"/>
    </row>
    <row r="62" spans="1:22" ht="14.25" customHeight="1">
      <c r="C62" s="2"/>
      <c r="D62" s="2"/>
      <c r="E62" s="2"/>
      <c r="J62" s="17"/>
      <c r="Q62" s="17"/>
      <c r="R62" s="17"/>
    </row>
    <row r="63" spans="1:22" ht="14.25" customHeight="1">
      <c r="C63" s="2"/>
      <c r="D63" s="2"/>
      <c r="E63" s="2"/>
      <c r="J63" s="17"/>
    </row>
    <row r="64" spans="1:22" ht="14.25" customHeight="1">
      <c r="C64" s="2"/>
      <c r="D64" s="2"/>
      <c r="E64" s="2"/>
      <c r="J64" s="17"/>
    </row>
    <row r="65" spans="3:18" ht="14.25" customHeight="1">
      <c r="C65" s="2"/>
      <c r="D65" s="2"/>
      <c r="E65" s="2"/>
      <c r="J65" s="17"/>
    </row>
    <row r="66" spans="3:18" ht="14.25" customHeight="1">
      <c r="C66" s="2"/>
      <c r="D66" s="2"/>
      <c r="E66" s="2"/>
      <c r="J66" s="17"/>
    </row>
    <row r="67" spans="3:18" ht="14.25" customHeight="1">
      <c r="C67" s="2"/>
      <c r="D67" s="2"/>
      <c r="E67" s="2"/>
      <c r="J67" s="17"/>
    </row>
    <row r="68" spans="3:18" ht="14.25" customHeight="1">
      <c r="C68" s="2"/>
      <c r="D68" s="2"/>
      <c r="E68" s="2"/>
      <c r="J68" s="17"/>
    </row>
    <row r="69" spans="3:18" ht="14.25" customHeight="1">
      <c r="C69" s="2"/>
      <c r="D69" s="2"/>
      <c r="E69" s="2"/>
      <c r="J69" s="17"/>
    </row>
    <row r="70" spans="3:18" ht="14.25" customHeight="1">
      <c r="C70" s="2"/>
      <c r="D70" s="2"/>
      <c r="E70" s="2"/>
      <c r="J70" s="17"/>
    </row>
    <row r="71" spans="3:18" ht="14.25" customHeight="1">
      <c r="C71" s="2"/>
      <c r="D71" s="2"/>
      <c r="E71" s="2"/>
      <c r="J71" s="17"/>
    </row>
    <row r="72" spans="3:18" ht="14.25" customHeight="1">
      <c r="C72" s="2"/>
      <c r="D72" s="2"/>
      <c r="E72" s="2"/>
      <c r="J72" s="17"/>
    </row>
    <row r="73" spans="3:18" ht="14.25" customHeight="1">
      <c r="C73" s="2"/>
      <c r="D73" s="2"/>
      <c r="E73" s="2"/>
      <c r="J73" s="17"/>
    </row>
    <row r="74" spans="3:18" ht="14.25" customHeight="1">
      <c r="C74" s="2"/>
      <c r="D74" s="2"/>
      <c r="E74" s="2"/>
      <c r="J74" s="17"/>
    </row>
    <row r="75" spans="3:18" ht="14.25" customHeight="1">
      <c r="C75" s="2"/>
      <c r="D75" s="2"/>
      <c r="E75" s="2"/>
      <c r="J75" s="17"/>
    </row>
    <row r="76" spans="3:18" ht="14.25" customHeight="1">
      <c r="C76" s="2"/>
      <c r="D76" s="2"/>
      <c r="E76" s="2"/>
      <c r="J76" s="17"/>
      <c r="M76" s="2"/>
      <c r="N76" s="2"/>
      <c r="O76" s="2"/>
      <c r="P76" s="2"/>
      <c r="Q76" s="2"/>
      <c r="R76" s="2"/>
    </row>
    <row r="77" spans="3:18" ht="14.25" customHeight="1">
      <c r="C77" s="2"/>
      <c r="D77" s="2"/>
      <c r="E77" s="2"/>
      <c r="J77" s="17"/>
      <c r="M77" s="2"/>
      <c r="N77" s="2"/>
      <c r="O77" s="2"/>
      <c r="P77" s="2"/>
      <c r="Q77" s="2"/>
      <c r="R77" s="2"/>
    </row>
    <row r="78" spans="3:18" ht="14.25" customHeight="1">
      <c r="C78" s="2"/>
      <c r="D78" s="2"/>
      <c r="E78" s="2"/>
      <c r="J78" s="17"/>
      <c r="M78" s="2"/>
      <c r="N78" s="112"/>
      <c r="O78" s="2"/>
      <c r="P78" s="2"/>
      <c r="Q78" s="2"/>
      <c r="R78" s="112"/>
    </row>
    <row r="79" spans="3:18" ht="14.25" customHeight="1">
      <c r="C79" s="2"/>
      <c r="D79" s="2"/>
      <c r="E79" s="2"/>
      <c r="J79" s="17"/>
      <c r="M79" s="2"/>
      <c r="N79" s="2"/>
      <c r="O79" s="2"/>
      <c r="P79" s="2"/>
      <c r="Q79" s="2"/>
      <c r="R79" s="2"/>
    </row>
    <row r="80" spans="3:18" ht="14.25" customHeight="1">
      <c r="J80" s="17"/>
      <c r="M80" s="2"/>
      <c r="N80" s="2"/>
      <c r="O80" s="2"/>
      <c r="P80" s="2"/>
      <c r="Q80" s="2"/>
      <c r="R80" s="2"/>
    </row>
    <row r="81" spans="10:11" ht="14.25" customHeight="1">
      <c r="J81" s="17"/>
    </row>
    <row r="82" spans="10:11" ht="14.25" customHeight="1">
      <c r="J82" s="17"/>
    </row>
    <row r="83" spans="10:11" ht="14.25" customHeight="1">
      <c r="J83" s="17"/>
    </row>
    <row r="84" spans="10:11" ht="14.25" customHeight="1">
      <c r="K84" s="17"/>
    </row>
    <row r="85" spans="10:11" ht="14.25" customHeight="1">
      <c r="K85" s="17"/>
    </row>
    <row r="86" spans="10:11" ht="14.25" customHeight="1">
      <c r="K86" s="17"/>
    </row>
    <row r="87" spans="10:11" ht="14.25" customHeight="1">
      <c r="K87" s="17"/>
    </row>
    <row r="88" spans="10:11" ht="14.25" customHeight="1">
      <c r="K88" s="17"/>
    </row>
    <row r="89" spans="10:11" ht="14.25" customHeight="1">
      <c r="K89" s="17"/>
    </row>
    <row r="90" spans="10:11" ht="14.25" customHeight="1">
      <c r="K90" s="17"/>
    </row>
    <row r="91" spans="10:11" ht="14.25" customHeight="1">
      <c r="K91" s="17"/>
    </row>
    <row r="92" spans="10:11" ht="14.25" customHeight="1">
      <c r="K92" s="17"/>
    </row>
    <row r="93" spans="10:11" ht="14.25" customHeight="1">
      <c r="K93" s="17"/>
    </row>
    <row r="94" spans="10:11" ht="14.25" customHeight="1">
      <c r="K94" s="17"/>
    </row>
    <row r="95" spans="10:11" ht="14.25" customHeight="1">
      <c r="K95" s="17"/>
    </row>
    <row r="96" spans="10:11" ht="14.25" customHeight="1">
      <c r="K96" s="17"/>
    </row>
    <row r="97" spans="11:11" ht="14.25" customHeight="1">
      <c r="K97" s="17"/>
    </row>
    <row r="98" spans="11:11" ht="14.25" customHeight="1">
      <c r="K98" s="17"/>
    </row>
    <row r="99" spans="11:11" ht="14.25" customHeight="1">
      <c r="K99" s="17"/>
    </row>
    <row r="100" spans="11:11" ht="14.25" customHeight="1">
      <c r="K100" s="17"/>
    </row>
    <row r="101" spans="11:11" ht="14.25" customHeight="1">
      <c r="K101" s="17"/>
    </row>
    <row r="102" spans="11:11" ht="14.25" customHeight="1">
      <c r="K102" s="17"/>
    </row>
    <row r="103" spans="11:11" ht="14.25" customHeight="1">
      <c r="K103" s="17"/>
    </row>
    <row r="104" spans="11:11" ht="14.25" customHeight="1">
      <c r="K104" s="17"/>
    </row>
    <row r="105" spans="11:11" ht="14.25" customHeight="1">
      <c r="K105" s="17"/>
    </row>
    <row r="106" spans="11:11" ht="14.25" customHeight="1">
      <c r="K106" s="17"/>
    </row>
    <row r="107" spans="11:11" ht="14.25" customHeight="1">
      <c r="K107" s="17"/>
    </row>
    <row r="108" spans="11:11" ht="14.25" customHeight="1">
      <c r="K108" s="17"/>
    </row>
    <row r="109" spans="11:11" ht="14.25" customHeight="1">
      <c r="K109" s="17"/>
    </row>
    <row r="110" spans="11:11" ht="14.25" customHeight="1">
      <c r="K110" s="17"/>
    </row>
    <row r="111" spans="11:11" ht="14.25" customHeight="1">
      <c r="K111" s="17"/>
    </row>
    <row r="112" spans="11:11" ht="14.25" customHeight="1">
      <c r="K112" s="17"/>
    </row>
    <row r="113" spans="11:11" ht="14.25" customHeight="1">
      <c r="K113" s="17"/>
    </row>
    <row r="114" spans="11:11" ht="14.25" customHeight="1">
      <c r="K114" s="17"/>
    </row>
    <row r="115" spans="11:11" ht="14.25" customHeight="1">
      <c r="K115" s="17"/>
    </row>
    <row r="116" spans="11:11" ht="14.25" customHeight="1">
      <c r="K116" s="17"/>
    </row>
    <row r="117" spans="11:11" ht="14.25" customHeight="1">
      <c r="K117" s="17"/>
    </row>
    <row r="118" spans="11:11" ht="14.25" customHeight="1">
      <c r="K118" s="17"/>
    </row>
    <row r="119" spans="11:11" ht="14.25" customHeight="1">
      <c r="K119" s="17"/>
    </row>
    <row r="120" spans="11:11" ht="14.25" customHeight="1">
      <c r="K120" s="17"/>
    </row>
    <row r="121" spans="11:11" ht="14.25" customHeight="1">
      <c r="K121" s="17"/>
    </row>
    <row r="122" spans="11:11" ht="14.25" customHeight="1">
      <c r="K122" s="17"/>
    </row>
    <row r="123" spans="11:11" ht="14.25" customHeight="1">
      <c r="K123" s="17"/>
    </row>
    <row r="124" spans="11:11" ht="14.25" customHeight="1">
      <c r="K124" s="17"/>
    </row>
    <row r="125" spans="11:11" ht="14.25" customHeight="1">
      <c r="K125" s="17"/>
    </row>
    <row r="126" spans="11:11" ht="14.25" customHeight="1">
      <c r="K126" s="17"/>
    </row>
    <row r="127" spans="11:11" ht="14.25" customHeight="1">
      <c r="K127" s="17"/>
    </row>
    <row r="128" spans="11:11" ht="14.25" customHeight="1">
      <c r="K128" s="17"/>
    </row>
    <row r="129" spans="11:11" ht="14.25" customHeight="1">
      <c r="K129" s="17"/>
    </row>
    <row r="130" spans="11:11" ht="14.25" customHeight="1">
      <c r="K130" s="17"/>
    </row>
    <row r="131" spans="11:11" ht="14.25" customHeight="1">
      <c r="K131" s="17"/>
    </row>
    <row r="132" spans="11:11" ht="14.25" customHeight="1">
      <c r="K132" s="17"/>
    </row>
    <row r="133" spans="11:11" ht="14.25" customHeight="1">
      <c r="K133" s="17"/>
    </row>
    <row r="134" spans="11:11" ht="14.25" customHeight="1">
      <c r="K134" s="17"/>
    </row>
    <row r="135" spans="11:11" ht="14.25" customHeight="1">
      <c r="K135" s="17"/>
    </row>
    <row r="136" spans="11:11" ht="14.25" customHeight="1">
      <c r="K136" s="17"/>
    </row>
    <row r="137" spans="11:11" ht="14.25" customHeight="1">
      <c r="K137" s="17"/>
    </row>
    <row r="138" spans="11:11" ht="14.25" customHeight="1">
      <c r="K138" s="17"/>
    </row>
  </sheetData>
  <phoneticPr fontId="48" type="noConversion"/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86"/>
  <sheetViews>
    <sheetView topLeftCell="A55" workbookViewId="0">
      <selection activeCell="A64" sqref="A64"/>
    </sheetView>
  </sheetViews>
  <sheetFormatPr baseColWidth="10" defaultColWidth="8.83203125" defaultRowHeight="14.25" customHeight="1"/>
  <cols>
    <col min="1" max="1" width="17.83203125" style="18" bestFit="1" customWidth="1"/>
    <col min="2" max="2" width="7" style="18" bestFit="1" customWidth="1"/>
    <col min="3" max="3" width="17.5" style="18" bestFit="1" customWidth="1"/>
    <col min="4" max="4" width="13.1640625" style="18" bestFit="1" customWidth="1"/>
    <col min="5" max="5" width="14.6640625" style="18" bestFit="1" customWidth="1"/>
    <col min="6" max="6" width="12.6640625" style="18" customWidth="1"/>
    <col min="7" max="7" width="12.6640625" style="18" bestFit="1" customWidth="1"/>
    <col min="8" max="8" width="15.5" style="18" bestFit="1" customWidth="1"/>
    <col min="9" max="9" width="17.5" style="18" bestFit="1" customWidth="1"/>
    <col min="10" max="10" width="9.83203125" style="18" bestFit="1" customWidth="1"/>
    <col min="11" max="11" width="13.5" style="18" bestFit="1" customWidth="1"/>
    <col min="12" max="12" width="12" style="18" bestFit="1" customWidth="1"/>
    <col min="13" max="13" width="5.1640625" style="18" bestFit="1" customWidth="1"/>
    <col min="14" max="14" width="7.6640625" style="18" bestFit="1" customWidth="1"/>
    <col min="15" max="15" width="14.1640625" style="18" bestFit="1" customWidth="1"/>
    <col min="16" max="16" width="14.5" style="18" bestFit="1" customWidth="1"/>
    <col min="17" max="19" width="6.5" style="18" bestFit="1" customWidth="1"/>
    <col min="20" max="16384" width="8.83203125" style="18"/>
  </cols>
  <sheetData>
    <row r="1" spans="1:20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9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2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20" ht="14.25" customHeight="1">
      <c r="A2" s="159" t="s">
        <v>94</v>
      </c>
      <c r="B2" s="17" t="s">
        <v>89</v>
      </c>
      <c r="C2" s="20" t="s">
        <v>124</v>
      </c>
      <c r="D2" s="261"/>
      <c r="E2" s="262"/>
      <c r="F2" s="18">
        <v>2002</v>
      </c>
      <c r="G2" s="19" t="s">
        <v>90</v>
      </c>
      <c r="H2" s="18" t="s">
        <v>187</v>
      </c>
      <c r="I2" s="17" t="s">
        <v>91</v>
      </c>
      <c r="J2" s="18" t="s">
        <v>81</v>
      </c>
      <c r="K2" s="18">
        <v>1200</v>
      </c>
      <c r="L2" s="17">
        <v>1.2E-2</v>
      </c>
      <c r="M2" s="17" t="s">
        <v>80</v>
      </c>
      <c r="N2" s="17" t="s">
        <v>88</v>
      </c>
      <c r="O2" s="51">
        <v>100</v>
      </c>
      <c r="P2" s="42">
        <v>2.0000000000000052E-4</v>
      </c>
      <c r="Q2" s="246">
        <v>3.8E-3</v>
      </c>
      <c r="R2" s="246">
        <v>5.1000000000000004E-3</v>
      </c>
      <c r="S2" s="246">
        <v>5.7000000000000002E-3</v>
      </c>
    </row>
    <row r="3" spans="1:20" ht="14.25" customHeight="1">
      <c r="A3" s="159" t="s">
        <v>94</v>
      </c>
      <c r="B3" s="17" t="s">
        <v>89</v>
      </c>
      <c r="C3" s="158" t="s">
        <v>100</v>
      </c>
      <c r="D3" s="109">
        <v>-50.439226072752582</v>
      </c>
      <c r="E3" s="109">
        <v>-21.205476000000004</v>
      </c>
      <c r="F3" s="18">
        <v>2002</v>
      </c>
      <c r="G3" s="19" t="s">
        <v>90</v>
      </c>
      <c r="H3" s="18" t="s">
        <v>177</v>
      </c>
      <c r="I3" s="17" t="s">
        <v>91</v>
      </c>
      <c r="J3" s="18" t="s">
        <v>81</v>
      </c>
      <c r="K3" s="18">
        <v>1800</v>
      </c>
      <c r="L3" s="17">
        <v>1.2E-2</v>
      </c>
      <c r="M3" s="17" t="s">
        <v>80</v>
      </c>
      <c r="N3" s="27" t="s">
        <v>88</v>
      </c>
      <c r="O3" s="24">
        <v>97.8</v>
      </c>
      <c r="P3" s="42">
        <v>9.9999999999999915E-4</v>
      </c>
      <c r="Q3" s="23">
        <v>8.5000000000000006E-3</v>
      </c>
      <c r="R3" s="23">
        <v>1.2999999999999999E-2</v>
      </c>
      <c r="S3" s="23">
        <v>1.4999999999999999E-2</v>
      </c>
    </row>
    <row r="4" spans="1:20" ht="14.25" customHeight="1">
      <c r="A4" s="159" t="s">
        <v>94</v>
      </c>
      <c r="B4" s="17" t="s">
        <v>89</v>
      </c>
      <c r="C4" s="158" t="s">
        <v>101</v>
      </c>
      <c r="D4" s="109">
        <v>-48.567377839455055</v>
      </c>
      <c r="E4" s="109">
        <v>-20.558455515000002</v>
      </c>
      <c r="F4" s="18">
        <v>2002</v>
      </c>
      <c r="G4" s="19" t="s">
        <v>90</v>
      </c>
      <c r="H4" s="18" t="s">
        <v>177</v>
      </c>
      <c r="I4" s="17" t="s">
        <v>91</v>
      </c>
      <c r="J4" s="18" t="s">
        <v>81</v>
      </c>
      <c r="K4" s="18">
        <v>1200</v>
      </c>
      <c r="L4" s="17">
        <v>1.2E-2</v>
      </c>
      <c r="M4" s="17" t="s">
        <v>80</v>
      </c>
      <c r="N4" s="27" t="s">
        <v>88</v>
      </c>
      <c r="O4" s="24">
        <v>97.3</v>
      </c>
      <c r="P4" s="42">
        <v>0</v>
      </c>
      <c r="Q4" s="23">
        <v>8.8999999999999999E-3</v>
      </c>
      <c r="R4" s="23">
        <v>1.6E-2</v>
      </c>
      <c r="S4" s="23">
        <v>2.1000000000000001E-2</v>
      </c>
      <c r="T4" s="128"/>
    </row>
    <row r="5" spans="1:20" ht="14.25" customHeight="1">
      <c r="A5" s="159" t="s">
        <v>94</v>
      </c>
      <c r="B5" s="17" t="s">
        <v>89</v>
      </c>
      <c r="C5" s="158" t="s">
        <v>102</v>
      </c>
      <c r="D5" s="109">
        <v>-49.083000867090362</v>
      </c>
      <c r="E5" s="109">
        <v>-22.325122500000006</v>
      </c>
      <c r="F5" s="18">
        <v>2002</v>
      </c>
      <c r="G5" s="19" t="s">
        <v>90</v>
      </c>
      <c r="H5" s="18" t="s">
        <v>177</v>
      </c>
      <c r="I5" s="17" t="s">
        <v>91</v>
      </c>
      <c r="J5" s="18" t="s">
        <v>81</v>
      </c>
      <c r="K5" s="18">
        <v>1500</v>
      </c>
      <c r="L5" s="17">
        <v>1.2E-2</v>
      </c>
      <c r="M5" s="17" t="s">
        <v>80</v>
      </c>
      <c r="N5" s="27" t="s">
        <v>88</v>
      </c>
      <c r="O5" s="24">
        <v>99.6</v>
      </c>
      <c r="P5" s="42">
        <v>5.0000000000000044E-4</v>
      </c>
      <c r="Q5" s="23">
        <v>6.1999999999999998E-3</v>
      </c>
      <c r="R5" s="23">
        <v>9.4000000000000004E-3</v>
      </c>
      <c r="S5" s="23">
        <v>1.0999999999999999E-2</v>
      </c>
      <c r="T5" s="128"/>
    </row>
    <row r="6" spans="1:20" ht="14.25" customHeight="1">
      <c r="A6" s="159" t="s">
        <v>94</v>
      </c>
      <c r="B6" s="17" t="s">
        <v>89</v>
      </c>
      <c r="C6" s="158" t="s">
        <v>104</v>
      </c>
      <c r="D6" s="109">
        <v>-47.06015627297316</v>
      </c>
      <c r="E6" s="109">
        <v>-22.907342500000002</v>
      </c>
      <c r="F6" s="18">
        <v>2002</v>
      </c>
      <c r="G6" s="19" t="s">
        <v>90</v>
      </c>
      <c r="H6" s="18" t="s">
        <v>177</v>
      </c>
      <c r="I6" s="17" t="s">
        <v>91</v>
      </c>
      <c r="J6" s="18" t="s">
        <v>81</v>
      </c>
      <c r="K6" s="18">
        <v>1200</v>
      </c>
      <c r="L6" s="17">
        <v>1.2E-2</v>
      </c>
      <c r="M6" s="17" t="s">
        <v>80</v>
      </c>
      <c r="N6" s="27" t="s">
        <v>88</v>
      </c>
      <c r="O6" s="24">
        <v>99.6</v>
      </c>
      <c r="P6" s="42">
        <v>2.9999999999999992E-4</v>
      </c>
      <c r="Q6" s="23">
        <v>6.4000000000000003E-3</v>
      </c>
      <c r="R6" s="23">
        <v>9.5999999999999992E-3</v>
      </c>
      <c r="S6" s="23">
        <v>1.0999999999999999E-2</v>
      </c>
    </row>
    <row r="7" spans="1:20" ht="14.25" customHeight="1">
      <c r="A7" s="159" t="s">
        <v>94</v>
      </c>
      <c r="B7" s="17" t="s">
        <v>89</v>
      </c>
      <c r="C7" s="158" t="s">
        <v>107</v>
      </c>
      <c r="D7" s="109">
        <v>-49.951645643103269</v>
      </c>
      <c r="E7" s="109">
        <v>-22.122743500000002</v>
      </c>
      <c r="F7" s="18">
        <v>2002</v>
      </c>
      <c r="G7" s="19" t="s">
        <v>90</v>
      </c>
      <c r="H7" s="18" t="s">
        <v>177</v>
      </c>
      <c r="I7" s="17" t="s">
        <v>91</v>
      </c>
      <c r="J7" s="18" t="s">
        <v>81</v>
      </c>
      <c r="K7" s="18">
        <v>1200</v>
      </c>
      <c r="L7" s="17">
        <v>1.2E-2</v>
      </c>
      <c r="M7" s="17" t="s">
        <v>80</v>
      </c>
      <c r="N7" s="27" t="s">
        <v>88</v>
      </c>
      <c r="O7" s="51">
        <v>100</v>
      </c>
      <c r="P7" s="42">
        <v>3.9999999999999931E-4</v>
      </c>
      <c r="Q7" s="23">
        <v>6.1000000000000004E-3</v>
      </c>
      <c r="R7" s="23">
        <v>9.1999999999999998E-3</v>
      </c>
      <c r="S7" s="23">
        <v>1.0999999999999999E-2</v>
      </c>
    </row>
    <row r="8" spans="1:20" ht="14.25" customHeight="1">
      <c r="A8" s="159" t="s">
        <v>94</v>
      </c>
      <c r="B8" s="17" t="s">
        <v>89</v>
      </c>
      <c r="C8" s="158" t="s">
        <v>108</v>
      </c>
      <c r="D8" s="109">
        <v>-51.386765581912492</v>
      </c>
      <c r="E8" s="109">
        <v>-24.494251427999906</v>
      </c>
      <c r="F8" s="18">
        <v>2002</v>
      </c>
      <c r="G8" s="19" t="s">
        <v>90</v>
      </c>
      <c r="H8" s="18" t="s">
        <v>177</v>
      </c>
      <c r="I8" s="17" t="s">
        <v>91</v>
      </c>
      <c r="J8" s="18" t="s">
        <v>81</v>
      </c>
      <c r="K8" s="18">
        <v>1500</v>
      </c>
      <c r="L8" s="17">
        <v>1.2E-2</v>
      </c>
      <c r="M8" s="17" t="s">
        <v>80</v>
      </c>
      <c r="N8" s="27" t="s">
        <v>88</v>
      </c>
      <c r="O8" s="24">
        <v>98.9</v>
      </c>
      <c r="P8" s="42">
        <v>1.0000000000000009E-3</v>
      </c>
      <c r="Q8" s="23">
        <v>6.4000000000000003E-3</v>
      </c>
      <c r="R8" s="23">
        <v>1.2E-2</v>
      </c>
      <c r="S8" s="23">
        <v>1.4999999999999999E-2</v>
      </c>
    </row>
    <row r="9" spans="1:20" ht="14.25" customHeight="1">
      <c r="A9" s="159" t="s">
        <v>94</v>
      </c>
      <c r="B9" s="17" t="s">
        <v>89</v>
      </c>
      <c r="C9" s="158" t="s">
        <v>109</v>
      </c>
      <c r="D9" s="109">
        <v>-47.805475915541528</v>
      </c>
      <c r="E9" s="109">
        <v>-21.184834500000004</v>
      </c>
      <c r="F9" s="18">
        <v>2002</v>
      </c>
      <c r="G9" s="19" t="s">
        <v>90</v>
      </c>
      <c r="H9" s="18" t="s">
        <v>186</v>
      </c>
      <c r="I9" s="17" t="s">
        <v>91</v>
      </c>
      <c r="J9" s="18" t="s">
        <v>81</v>
      </c>
      <c r="K9" s="18">
        <v>1800</v>
      </c>
      <c r="L9" s="17">
        <v>1.2E-2</v>
      </c>
      <c r="M9" s="17" t="s">
        <v>80</v>
      </c>
      <c r="N9" s="27" t="s">
        <v>88</v>
      </c>
      <c r="O9" s="24">
        <v>93.2</v>
      </c>
      <c r="P9" s="42">
        <v>9.9999999999999915E-4</v>
      </c>
      <c r="Q9" s="23">
        <v>8.3000000000000001E-3</v>
      </c>
      <c r="R9" s="23">
        <v>1.2999999999999999E-2</v>
      </c>
      <c r="S9" s="23">
        <v>1.4999999999999999E-2</v>
      </c>
    </row>
    <row r="10" spans="1:20" ht="14.25" customHeight="1">
      <c r="A10" s="159" t="s">
        <v>94</v>
      </c>
      <c r="B10" s="17" t="s">
        <v>89</v>
      </c>
      <c r="C10" s="158" t="s">
        <v>110</v>
      </c>
      <c r="D10" s="109">
        <v>-46.331370849190684</v>
      </c>
      <c r="E10" s="109">
        <v>-23.933737500000003</v>
      </c>
      <c r="F10" s="18">
        <v>2002</v>
      </c>
      <c r="G10" s="19" t="s">
        <v>90</v>
      </c>
      <c r="H10" s="18" t="s">
        <v>177</v>
      </c>
      <c r="I10" s="17" t="s">
        <v>91</v>
      </c>
      <c r="J10" s="18" t="s">
        <v>81</v>
      </c>
      <c r="K10" s="18">
        <v>2100</v>
      </c>
      <c r="L10" s="17">
        <v>1.2E-2</v>
      </c>
      <c r="M10" s="17" t="s">
        <v>80</v>
      </c>
      <c r="N10" s="27" t="s">
        <v>88</v>
      </c>
      <c r="O10" s="24">
        <v>81.599999999999994</v>
      </c>
      <c r="P10" s="42">
        <v>6.9999999999999923E-4</v>
      </c>
      <c r="Q10" s="23">
        <v>1.3599999999999999E-2</v>
      </c>
      <c r="R10" s="23">
        <v>2.07E-2</v>
      </c>
      <c r="S10" s="23">
        <v>2.47E-2</v>
      </c>
    </row>
    <row r="11" spans="1:20" ht="14.25" customHeight="1">
      <c r="A11" s="159" t="s">
        <v>94</v>
      </c>
      <c r="B11" s="17" t="s">
        <v>89</v>
      </c>
      <c r="C11" s="158" t="s">
        <v>112</v>
      </c>
      <c r="D11" s="109">
        <v>-49.381347685025794</v>
      </c>
      <c r="E11" s="109">
        <v>-20.812636500000004</v>
      </c>
      <c r="F11" s="18">
        <v>2002</v>
      </c>
      <c r="G11" s="19" t="s">
        <v>90</v>
      </c>
      <c r="H11" s="18" t="s">
        <v>186</v>
      </c>
      <c r="I11" s="17" t="s">
        <v>91</v>
      </c>
      <c r="J11" s="18" t="s">
        <v>81</v>
      </c>
      <c r="K11" s="18">
        <v>3000</v>
      </c>
      <c r="L11" s="17">
        <v>1.2E-2</v>
      </c>
      <c r="M11" s="17" t="s">
        <v>80</v>
      </c>
      <c r="N11" s="27" t="s">
        <v>88</v>
      </c>
      <c r="O11" s="24">
        <v>93.1</v>
      </c>
      <c r="P11" s="42">
        <v>9.9999999999999742E-4</v>
      </c>
      <c r="Q11" s="23">
        <v>0.01</v>
      </c>
      <c r="R11" s="23">
        <v>2.1999999999999999E-2</v>
      </c>
      <c r="S11" s="23">
        <v>0.03</v>
      </c>
    </row>
    <row r="12" spans="1:20" ht="14.25" customHeight="1">
      <c r="A12" s="159" t="s">
        <v>94</v>
      </c>
      <c r="B12" s="17" t="s">
        <v>89</v>
      </c>
      <c r="C12" s="17" t="s">
        <v>115</v>
      </c>
      <c r="D12" s="109">
        <v>-60.670532672965052</v>
      </c>
      <c r="E12" s="109">
        <v>2.8166819191043904</v>
      </c>
      <c r="F12" s="18">
        <v>2002</v>
      </c>
      <c r="G12" s="19" t="s">
        <v>90</v>
      </c>
      <c r="H12" s="18" t="s">
        <v>186</v>
      </c>
      <c r="I12" s="17" t="s">
        <v>91</v>
      </c>
      <c r="J12" s="18" t="s">
        <v>81</v>
      </c>
      <c r="K12" s="18">
        <v>2100</v>
      </c>
      <c r="L12" s="17">
        <v>1.2E-2</v>
      </c>
      <c r="M12" s="17" t="s">
        <v>80</v>
      </c>
      <c r="N12" s="27" t="s">
        <v>88</v>
      </c>
      <c r="O12" s="24">
        <v>68.5</v>
      </c>
      <c r="P12" s="42">
        <v>1.9999999999999983E-3</v>
      </c>
      <c r="Q12" s="23">
        <v>1.2999999999999999E-2</v>
      </c>
      <c r="R12" s="23">
        <v>2.1999999999999999E-2</v>
      </c>
      <c r="S12" s="23">
        <v>2.7E-2</v>
      </c>
    </row>
    <row r="13" spans="1:20" ht="14.25" customHeight="1">
      <c r="A13" s="159" t="s">
        <v>94</v>
      </c>
      <c r="B13" s="17" t="s">
        <v>89</v>
      </c>
      <c r="C13" s="158" t="s">
        <v>116</v>
      </c>
      <c r="D13" s="109">
        <v>-38.589927555043182</v>
      </c>
      <c r="E13" s="109">
        <v>-3.7238050350000007</v>
      </c>
      <c r="F13" s="18">
        <v>2002</v>
      </c>
      <c r="G13" s="19" t="s">
        <v>90</v>
      </c>
      <c r="H13" s="18" t="s">
        <v>177</v>
      </c>
      <c r="I13" s="17" t="s">
        <v>91</v>
      </c>
      <c r="J13" s="18" t="s">
        <v>81</v>
      </c>
      <c r="K13" s="18">
        <v>1800</v>
      </c>
      <c r="L13" s="17">
        <v>1.2E-2</v>
      </c>
      <c r="M13" s="17" t="s">
        <v>80</v>
      </c>
      <c r="N13" s="27" t="s">
        <v>88</v>
      </c>
      <c r="O13" s="24">
        <v>3.4</v>
      </c>
      <c r="P13" s="42">
        <v>1.9999999999999948E-3</v>
      </c>
      <c r="Q13" s="23">
        <v>3.2000000000000001E-2</v>
      </c>
      <c r="R13" s="23">
        <v>5.0999999999999997E-2</v>
      </c>
      <c r="S13" s="23">
        <v>6.0999999999999999E-2</v>
      </c>
    </row>
    <row r="14" spans="1:20" ht="14.25" customHeight="1">
      <c r="A14" s="159" t="s">
        <v>94</v>
      </c>
      <c r="B14" s="17" t="s">
        <v>89</v>
      </c>
      <c r="C14" s="158" t="s">
        <v>146</v>
      </c>
      <c r="D14" s="109">
        <v>-54.58710248860465</v>
      </c>
      <c r="E14" s="109">
        <v>-25.542493279529253</v>
      </c>
      <c r="F14" s="18">
        <v>2002</v>
      </c>
      <c r="G14" s="19" t="s">
        <v>90</v>
      </c>
      <c r="H14" s="18" t="s">
        <v>177</v>
      </c>
      <c r="I14" s="17" t="s">
        <v>91</v>
      </c>
      <c r="J14" s="18" t="s">
        <v>81</v>
      </c>
      <c r="K14" s="18">
        <v>1200</v>
      </c>
      <c r="L14" s="17">
        <v>1.2E-2</v>
      </c>
      <c r="M14" s="17" t="s">
        <v>80</v>
      </c>
      <c r="N14" s="27" t="s">
        <v>88</v>
      </c>
      <c r="O14" s="51">
        <v>100</v>
      </c>
      <c r="P14" s="42">
        <v>9.0000000000000149E-4</v>
      </c>
      <c r="Q14" s="23">
        <v>8.5000000000000006E-3</v>
      </c>
      <c r="R14" s="23">
        <v>1.5800000000000002E-2</v>
      </c>
      <c r="S14" s="23">
        <v>2.0400000000000001E-2</v>
      </c>
    </row>
    <row r="15" spans="1:20" ht="14.25" customHeight="1">
      <c r="A15" s="159" t="s">
        <v>94</v>
      </c>
      <c r="B15" s="17" t="s">
        <v>89</v>
      </c>
      <c r="C15" s="158" t="s">
        <v>117</v>
      </c>
      <c r="D15" s="109">
        <v>-40.503552159443394</v>
      </c>
      <c r="E15" s="109">
        <v>-9.4107170962278648</v>
      </c>
      <c r="F15" s="18">
        <v>2002</v>
      </c>
      <c r="G15" s="19" t="s">
        <v>90</v>
      </c>
      <c r="H15" s="18" t="s">
        <v>177</v>
      </c>
      <c r="I15" s="17" t="s">
        <v>91</v>
      </c>
      <c r="J15" s="18" t="s">
        <v>81</v>
      </c>
      <c r="K15" s="18">
        <v>1500</v>
      </c>
      <c r="L15" s="17">
        <v>1.2E-2</v>
      </c>
      <c r="M15" s="17" t="s">
        <v>80</v>
      </c>
      <c r="N15" s="27" t="s">
        <v>88</v>
      </c>
      <c r="O15" s="24">
        <v>10.8</v>
      </c>
      <c r="P15" s="42">
        <v>2.5999999999999981E-3</v>
      </c>
      <c r="Q15" s="23">
        <v>2.6700000000000002E-2</v>
      </c>
      <c r="R15" s="23">
        <v>4.8899999999999999E-2</v>
      </c>
      <c r="S15" s="23">
        <v>6.2799999999999995E-2</v>
      </c>
    </row>
    <row r="16" spans="1:20" ht="14.25" customHeight="1">
      <c r="A16" s="159" t="s">
        <v>94</v>
      </c>
      <c r="B16" s="17" t="s">
        <v>89</v>
      </c>
      <c r="C16" s="158" t="s">
        <v>137</v>
      </c>
      <c r="D16" s="155">
        <v>-51.162773423878093</v>
      </c>
      <c r="E16" s="155">
        <v>-23.312156000000005</v>
      </c>
      <c r="F16" s="18">
        <v>2002</v>
      </c>
      <c r="G16" s="19" t="s">
        <v>90</v>
      </c>
      <c r="H16" s="18" t="s">
        <v>177</v>
      </c>
      <c r="I16" s="17" t="s">
        <v>91</v>
      </c>
      <c r="J16" s="18" t="s">
        <v>81</v>
      </c>
      <c r="K16" s="18">
        <v>900</v>
      </c>
      <c r="L16" s="17">
        <v>1.2E-2</v>
      </c>
      <c r="M16" s="17" t="s">
        <v>80</v>
      </c>
      <c r="N16" s="27" t="s">
        <v>88</v>
      </c>
      <c r="O16" s="24">
        <v>99.3</v>
      </c>
      <c r="P16" s="42">
        <v>3.9999999999999931E-4</v>
      </c>
      <c r="Q16" s="23">
        <v>6.4999999999999997E-3</v>
      </c>
      <c r="R16" s="23">
        <v>8.9999999999999993E-3</v>
      </c>
      <c r="S16" s="23">
        <v>0.01</v>
      </c>
    </row>
    <row r="17" spans="1:20" ht="14.25" customHeight="1" thickBot="1">
      <c r="A17" s="11" t="s">
        <v>94</v>
      </c>
      <c r="B17" s="21" t="s">
        <v>89</v>
      </c>
      <c r="C17" s="11" t="s">
        <v>147</v>
      </c>
      <c r="D17" s="110">
        <v>-51.939881870252066</v>
      </c>
      <c r="E17" s="110">
        <v>-23.422280000000004</v>
      </c>
      <c r="F17" s="21">
        <v>2002</v>
      </c>
      <c r="G17" s="22" t="s">
        <v>90</v>
      </c>
      <c r="H17" s="21" t="s">
        <v>177</v>
      </c>
      <c r="I17" s="21" t="s">
        <v>91</v>
      </c>
      <c r="J17" s="21" t="s">
        <v>81</v>
      </c>
      <c r="K17" s="21">
        <v>2100</v>
      </c>
      <c r="L17" s="21">
        <v>1.2E-2</v>
      </c>
      <c r="M17" s="21" t="s">
        <v>80</v>
      </c>
      <c r="N17" s="11" t="s">
        <v>88</v>
      </c>
      <c r="O17" s="25">
        <v>93.7</v>
      </c>
      <c r="P17" s="44">
        <v>5.9999999999999984E-4</v>
      </c>
      <c r="Q17" s="29">
        <v>7.1000000000000004E-3</v>
      </c>
      <c r="R17" s="29">
        <v>1.06E-2</v>
      </c>
      <c r="S17" s="29">
        <v>1.2999999999999999E-2</v>
      </c>
    </row>
    <row r="18" spans="1:20" ht="14.25" customHeight="1">
      <c r="A18" s="159" t="s">
        <v>94</v>
      </c>
      <c r="B18" s="17" t="s">
        <v>89</v>
      </c>
      <c r="C18" s="20" t="s">
        <v>124</v>
      </c>
      <c r="D18" s="261"/>
      <c r="E18" s="262"/>
      <c r="F18" s="18">
        <v>2002</v>
      </c>
      <c r="G18" s="19" t="s">
        <v>90</v>
      </c>
      <c r="H18" s="18" t="s">
        <v>187</v>
      </c>
      <c r="I18" s="17" t="s">
        <v>91</v>
      </c>
      <c r="J18" s="158" t="s">
        <v>92</v>
      </c>
      <c r="K18" s="18">
        <v>1200</v>
      </c>
      <c r="L18" s="158">
        <v>0.01</v>
      </c>
      <c r="M18" s="17" t="s">
        <v>80</v>
      </c>
      <c r="N18" s="17" t="s">
        <v>88</v>
      </c>
      <c r="O18" s="51">
        <v>100</v>
      </c>
      <c r="P18" s="42">
        <v>2.0000000000000009E-4</v>
      </c>
      <c r="Q18" s="23">
        <v>2E-3</v>
      </c>
      <c r="R18" s="23">
        <v>3.3E-3</v>
      </c>
      <c r="S18" s="23">
        <v>4.0000000000000001E-3</v>
      </c>
      <c r="T18" s="17"/>
    </row>
    <row r="19" spans="1:20" ht="14.25" customHeight="1">
      <c r="A19" s="159" t="s">
        <v>94</v>
      </c>
      <c r="B19" s="17" t="s">
        <v>89</v>
      </c>
      <c r="C19" s="158" t="s">
        <v>100</v>
      </c>
      <c r="D19" s="109">
        <v>-50.439226072752582</v>
      </c>
      <c r="E19" s="109">
        <v>-21.205476000000004</v>
      </c>
      <c r="F19" s="18">
        <v>2002</v>
      </c>
      <c r="G19" s="19" t="s">
        <v>90</v>
      </c>
      <c r="H19" s="18" t="s">
        <v>177</v>
      </c>
      <c r="I19" s="17" t="s">
        <v>91</v>
      </c>
      <c r="J19" s="158" t="s">
        <v>92</v>
      </c>
      <c r="K19" s="158">
        <v>1800</v>
      </c>
      <c r="L19" s="158">
        <v>0.01</v>
      </c>
      <c r="M19" s="17" t="s">
        <v>80</v>
      </c>
      <c r="N19" s="27" t="s">
        <v>88</v>
      </c>
      <c r="O19" s="24">
        <v>97.3</v>
      </c>
      <c r="P19" s="42">
        <v>5.0000000000000044E-4</v>
      </c>
      <c r="Q19" s="23">
        <v>5.1999999999999998E-3</v>
      </c>
      <c r="R19" s="23">
        <v>8.8000000000000005E-3</v>
      </c>
      <c r="S19" s="23">
        <v>1.0999999999999999E-2</v>
      </c>
      <c r="T19" s="17"/>
    </row>
    <row r="20" spans="1:20" ht="14.25" customHeight="1">
      <c r="A20" s="159" t="s">
        <v>94</v>
      </c>
      <c r="B20" s="17" t="s">
        <v>89</v>
      </c>
      <c r="C20" s="158" t="s">
        <v>101</v>
      </c>
      <c r="D20" s="109">
        <v>-48.567377839455055</v>
      </c>
      <c r="E20" s="109">
        <v>-20.558455515000002</v>
      </c>
      <c r="F20" s="18">
        <v>2002</v>
      </c>
      <c r="G20" s="19" t="s">
        <v>90</v>
      </c>
      <c r="H20" s="18" t="s">
        <v>177</v>
      </c>
      <c r="I20" s="17" t="s">
        <v>91</v>
      </c>
      <c r="J20" s="158" t="s">
        <v>92</v>
      </c>
      <c r="K20" s="158">
        <v>1500</v>
      </c>
      <c r="L20" s="158">
        <v>0.01</v>
      </c>
      <c r="M20" s="17" t="s">
        <v>80</v>
      </c>
      <c r="N20" s="27" t="s">
        <v>88</v>
      </c>
      <c r="O20" s="24">
        <v>91.7</v>
      </c>
      <c r="P20" s="42">
        <v>4.9999999999999871E-4</v>
      </c>
      <c r="Q20" s="23">
        <v>4.3E-3</v>
      </c>
      <c r="R20" s="23">
        <v>8.3999999999999995E-3</v>
      </c>
      <c r="S20" s="23">
        <v>1.0999999999999999E-2</v>
      </c>
      <c r="T20" s="17"/>
    </row>
    <row r="21" spans="1:20" ht="14.25" customHeight="1">
      <c r="A21" s="159" t="s">
        <v>94</v>
      </c>
      <c r="B21" s="17" t="s">
        <v>89</v>
      </c>
      <c r="C21" s="158" t="s">
        <v>102</v>
      </c>
      <c r="D21" s="109">
        <v>-49.083000867090362</v>
      </c>
      <c r="E21" s="109">
        <v>-22.325122500000006</v>
      </c>
      <c r="F21" s="18">
        <v>2002</v>
      </c>
      <c r="G21" s="19" t="s">
        <v>90</v>
      </c>
      <c r="H21" s="18" t="s">
        <v>177</v>
      </c>
      <c r="I21" s="17" t="s">
        <v>91</v>
      </c>
      <c r="J21" s="158" t="s">
        <v>92</v>
      </c>
      <c r="K21" s="158">
        <v>1500</v>
      </c>
      <c r="L21" s="158">
        <v>0.01</v>
      </c>
      <c r="M21" s="17" t="s">
        <v>80</v>
      </c>
      <c r="N21" s="27" t="s">
        <v>88</v>
      </c>
      <c r="O21" s="24">
        <v>98.4</v>
      </c>
      <c r="P21" s="42">
        <v>2.9999999999999992E-4</v>
      </c>
      <c r="Q21" s="23">
        <v>3.3E-3</v>
      </c>
      <c r="R21" s="23">
        <v>5.4999999999999997E-3</v>
      </c>
      <c r="S21" s="23">
        <v>6.7999999999999996E-3</v>
      </c>
      <c r="T21" s="17"/>
    </row>
    <row r="22" spans="1:20" ht="14.25" customHeight="1">
      <c r="A22" s="159" t="s">
        <v>94</v>
      </c>
      <c r="B22" s="17" t="s">
        <v>89</v>
      </c>
      <c r="C22" s="158" t="s">
        <v>104</v>
      </c>
      <c r="D22" s="109">
        <v>-47.06015627297316</v>
      </c>
      <c r="E22" s="109">
        <v>-22.907342500000002</v>
      </c>
      <c r="F22" s="18">
        <v>2002</v>
      </c>
      <c r="G22" s="19" t="s">
        <v>90</v>
      </c>
      <c r="H22" s="18" t="s">
        <v>177</v>
      </c>
      <c r="I22" s="17" t="s">
        <v>91</v>
      </c>
      <c r="J22" s="158" t="s">
        <v>92</v>
      </c>
      <c r="K22" s="158">
        <v>1200</v>
      </c>
      <c r="L22" s="158">
        <v>0.01</v>
      </c>
      <c r="M22" s="17" t="s">
        <v>80</v>
      </c>
      <c r="N22" s="27" t="s">
        <v>88</v>
      </c>
      <c r="O22" s="24">
        <v>99.5</v>
      </c>
      <c r="P22" s="42">
        <v>1.9999999999999966E-4</v>
      </c>
      <c r="Q22" s="23">
        <v>4.3E-3</v>
      </c>
      <c r="R22" s="23">
        <v>6.4999999999999997E-3</v>
      </c>
      <c r="S22" s="23">
        <v>7.7999999999999996E-3</v>
      </c>
      <c r="T22" s="17"/>
    </row>
    <row r="23" spans="1:20" ht="14.25" customHeight="1">
      <c r="A23" s="159" t="s">
        <v>94</v>
      </c>
      <c r="B23" s="17" t="s">
        <v>89</v>
      </c>
      <c r="C23" s="158" t="s">
        <v>107</v>
      </c>
      <c r="D23" s="109">
        <v>-49.951645643103269</v>
      </c>
      <c r="E23" s="109">
        <v>-22.122743500000002</v>
      </c>
      <c r="F23" s="18">
        <v>2002</v>
      </c>
      <c r="G23" s="19" t="s">
        <v>90</v>
      </c>
      <c r="H23" s="18" t="s">
        <v>177</v>
      </c>
      <c r="I23" s="17" t="s">
        <v>91</v>
      </c>
      <c r="J23" s="158" t="s">
        <v>92</v>
      </c>
      <c r="K23" s="18">
        <v>1800</v>
      </c>
      <c r="L23" s="158">
        <v>0.01</v>
      </c>
      <c r="M23" s="17" t="s">
        <v>80</v>
      </c>
      <c r="N23" s="27" t="s">
        <v>88</v>
      </c>
      <c r="O23" s="24">
        <v>98.4</v>
      </c>
      <c r="P23" s="42">
        <v>2.9999999999999992E-4</v>
      </c>
      <c r="Q23" s="23">
        <v>3.8E-3</v>
      </c>
      <c r="R23" s="23">
        <v>5.8999999999999999E-3</v>
      </c>
      <c r="S23" s="23">
        <v>7.1000000000000004E-3</v>
      </c>
      <c r="T23" s="17"/>
    </row>
    <row r="24" spans="1:20" ht="14.25" customHeight="1">
      <c r="A24" s="159" t="s">
        <v>94</v>
      </c>
      <c r="B24" s="17" t="s">
        <v>89</v>
      </c>
      <c r="C24" s="158" t="s">
        <v>108</v>
      </c>
      <c r="D24" s="109">
        <v>-51.386765581912492</v>
      </c>
      <c r="E24" s="109">
        <v>-24.494251427999906</v>
      </c>
      <c r="F24" s="18">
        <v>2002</v>
      </c>
      <c r="G24" s="19" t="s">
        <v>90</v>
      </c>
      <c r="H24" s="18" t="s">
        <v>177</v>
      </c>
      <c r="I24" s="17" t="s">
        <v>91</v>
      </c>
      <c r="J24" s="158" t="s">
        <v>92</v>
      </c>
      <c r="K24" s="18">
        <v>1500</v>
      </c>
      <c r="L24" s="158">
        <v>0.01</v>
      </c>
      <c r="M24" s="17" t="s">
        <v>80</v>
      </c>
      <c r="N24" s="27" t="s">
        <v>88</v>
      </c>
      <c r="O24" s="24">
        <v>99.7</v>
      </c>
      <c r="P24" s="42">
        <v>4.0000000000000018E-4</v>
      </c>
      <c r="Q24" s="23">
        <v>3.8E-3</v>
      </c>
      <c r="R24" s="23">
        <v>6.4000000000000003E-3</v>
      </c>
      <c r="S24" s="23">
        <v>7.9000000000000008E-3</v>
      </c>
      <c r="T24" s="17"/>
    </row>
    <row r="25" spans="1:20" ht="14.25" customHeight="1">
      <c r="A25" s="159" t="s">
        <v>94</v>
      </c>
      <c r="B25" s="17" t="s">
        <v>89</v>
      </c>
      <c r="C25" s="158" t="s">
        <v>109</v>
      </c>
      <c r="D25" s="109">
        <v>-47.805475915541528</v>
      </c>
      <c r="E25" s="109">
        <v>-21.184834500000004</v>
      </c>
      <c r="F25" s="18">
        <v>2002</v>
      </c>
      <c r="G25" s="19" t="s">
        <v>90</v>
      </c>
      <c r="H25" s="18" t="s">
        <v>186</v>
      </c>
      <c r="I25" s="17" t="s">
        <v>91</v>
      </c>
      <c r="J25" s="158" t="s">
        <v>92</v>
      </c>
      <c r="K25" s="18">
        <v>1500</v>
      </c>
      <c r="L25" s="158">
        <v>0.01</v>
      </c>
      <c r="M25" s="17" t="s">
        <v>80</v>
      </c>
      <c r="N25" s="27" t="s">
        <v>88</v>
      </c>
      <c r="O25" s="24">
        <v>93.9</v>
      </c>
      <c r="P25" s="42">
        <v>5.9999999999999984E-4</v>
      </c>
      <c r="Q25" s="23">
        <v>4.7000000000000002E-3</v>
      </c>
      <c r="R25" s="23">
        <v>8.6999999999999994E-3</v>
      </c>
      <c r="S25" s="23">
        <v>1.0999999999999999E-2</v>
      </c>
      <c r="T25" s="17"/>
    </row>
    <row r="26" spans="1:20" ht="14.25" customHeight="1">
      <c r="A26" s="159" t="s">
        <v>94</v>
      </c>
      <c r="B26" s="17" t="s">
        <v>89</v>
      </c>
      <c r="C26" s="158" t="s">
        <v>110</v>
      </c>
      <c r="D26" s="109">
        <v>-46.331370849190684</v>
      </c>
      <c r="E26" s="109">
        <v>-23.933737500000003</v>
      </c>
      <c r="F26" s="18">
        <v>2002</v>
      </c>
      <c r="G26" s="19" t="s">
        <v>90</v>
      </c>
      <c r="H26" s="18" t="s">
        <v>177</v>
      </c>
      <c r="I26" s="17" t="s">
        <v>91</v>
      </c>
      <c r="J26" s="158" t="s">
        <v>92</v>
      </c>
      <c r="K26" s="18">
        <v>1200</v>
      </c>
      <c r="L26" s="158">
        <v>0.01</v>
      </c>
      <c r="M26" s="17" t="s">
        <v>80</v>
      </c>
      <c r="N26" s="27" t="s">
        <v>88</v>
      </c>
      <c r="O26" s="24">
        <v>83</v>
      </c>
      <c r="P26" s="42">
        <v>2.9999999999999992E-4</v>
      </c>
      <c r="Q26" s="23">
        <v>6.0000000000000001E-3</v>
      </c>
      <c r="R26" s="23">
        <v>9.1000000000000004E-3</v>
      </c>
      <c r="S26" s="23">
        <v>1.0800000000000001E-2</v>
      </c>
      <c r="T26" s="17"/>
    </row>
    <row r="27" spans="1:20" ht="14.25" customHeight="1">
      <c r="A27" s="159" t="s">
        <v>94</v>
      </c>
      <c r="B27" s="17" t="s">
        <v>89</v>
      </c>
      <c r="C27" s="158" t="s">
        <v>112</v>
      </c>
      <c r="D27" s="109">
        <v>-49.381347685025794</v>
      </c>
      <c r="E27" s="109">
        <v>-20.812636500000004</v>
      </c>
      <c r="F27" s="18">
        <v>2002</v>
      </c>
      <c r="G27" s="19" t="s">
        <v>90</v>
      </c>
      <c r="H27" s="18" t="s">
        <v>186</v>
      </c>
      <c r="I27" s="17" t="s">
        <v>91</v>
      </c>
      <c r="J27" s="158" t="s">
        <v>92</v>
      </c>
      <c r="K27" s="18">
        <v>1800</v>
      </c>
      <c r="L27" s="158">
        <v>0.01</v>
      </c>
      <c r="M27" s="17" t="s">
        <v>80</v>
      </c>
      <c r="N27" s="27" t="s">
        <v>88</v>
      </c>
      <c r="O27" s="24">
        <v>96.5</v>
      </c>
      <c r="P27" s="42">
        <v>5.0000000000000044E-4</v>
      </c>
      <c r="Q27" s="23">
        <v>4.8999999999999998E-3</v>
      </c>
      <c r="R27" s="23">
        <v>8.2000000000000007E-3</v>
      </c>
      <c r="S27" s="23">
        <v>1.0200000000000001E-2</v>
      </c>
      <c r="T27" s="17"/>
    </row>
    <row r="28" spans="1:20" ht="14.25" customHeight="1">
      <c r="A28" s="159" t="s">
        <v>94</v>
      </c>
      <c r="B28" s="17" t="s">
        <v>89</v>
      </c>
      <c r="C28" s="17" t="s">
        <v>115</v>
      </c>
      <c r="D28" s="109">
        <v>-60.670532672965052</v>
      </c>
      <c r="E28" s="109">
        <v>2.8166819191043904</v>
      </c>
      <c r="F28" s="18">
        <v>2002</v>
      </c>
      <c r="G28" s="19" t="s">
        <v>90</v>
      </c>
      <c r="H28" s="18" t="s">
        <v>186</v>
      </c>
      <c r="I28" s="17" t="s">
        <v>91</v>
      </c>
      <c r="J28" s="158" t="s">
        <v>92</v>
      </c>
      <c r="K28" s="18">
        <v>1500</v>
      </c>
      <c r="L28" s="158">
        <v>0.01</v>
      </c>
      <c r="M28" s="17" t="s">
        <v>80</v>
      </c>
      <c r="N28" s="27" t="s">
        <v>88</v>
      </c>
      <c r="O28" s="24">
        <v>88.2</v>
      </c>
      <c r="P28" s="42">
        <v>2.9999999999999992E-4</v>
      </c>
      <c r="Q28" s="23">
        <v>5.4000000000000003E-3</v>
      </c>
      <c r="R28" s="23">
        <v>8.8000000000000005E-3</v>
      </c>
      <c r="S28" s="23">
        <v>1.0999999999999999E-2</v>
      </c>
      <c r="T28" s="17"/>
    </row>
    <row r="29" spans="1:20" ht="14.25" customHeight="1">
      <c r="A29" s="159" t="s">
        <v>94</v>
      </c>
      <c r="B29" s="17" t="s">
        <v>89</v>
      </c>
      <c r="C29" s="158" t="s">
        <v>116</v>
      </c>
      <c r="D29" s="109">
        <v>-38.589927555043182</v>
      </c>
      <c r="E29" s="109">
        <v>-3.7238050350000007</v>
      </c>
      <c r="F29" s="18">
        <v>2002</v>
      </c>
      <c r="G29" s="19" t="s">
        <v>90</v>
      </c>
      <c r="H29" s="18" t="s">
        <v>177</v>
      </c>
      <c r="I29" s="17" t="s">
        <v>91</v>
      </c>
      <c r="J29" s="158" t="s">
        <v>92</v>
      </c>
      <c r="K29" s="18">
        <v>1200</v>
      </c>
      <c r="L29" s="158">
        <v>0.01</v>
      </c>
      <c r="M29" s="17" t="s">
        <v>80</v>
      </c>
      <c r="N29" s="27" t="s">
        <v>88</v>
      </c>
      <c r="O29" s="24">
        <v>31</v>
      </c>
      <c r="P29" s="42">
        <v>1.0000000000000009E-3</v>
      </c>
      <c r="Q29" s="23">
        <v>0.01</v>
      </c>
      <c r="R29" s="23">
        <v>1.7000000000000001E-2</v>
      </c>
      <c r="S29" s="23">
        <v>2.1000000000000001E-2</v>
      </c>
      <c r="T29" s="17"/>
    </row>
    <row r="30" spans="1:20" ht="14.25" customHeight="1">
      <c r="A30" s="159" t="s">
        <v>94</v>
      </c>
      <c r="B30" s="17" t="s">
        <v>89</v>
      </c>
      <c r="C30" s="158" t="s">
        <v>146</v>
      </c>
      <c r="D30" s="109">
        <v>-54.58710248860465</v>
      </c>
      <c r="E30" s="109">
        <v>-25.542493279529253</v>
      </c>
      <c r="F30" s="18">
        <v>2002</v>
      </c>
      <c r="G30" s="19" t="s">
        <v>90</v>
      </c>
      <c r="H30" s="18" t="s">
        <v>177</v>
      </c>
      <c r="I30" s="17" t="s">
        <v>91</v>
      </c>
      <c r="J30" s="158" t="s">
        <v>92</v>
      </c>
      <c r="K30" s="18">
        <v>1500</v>
      </c>
      <c r="L30" s="158">
        <v>0.01</v>
      </c>
      <c r="M30" s="17" t="s">
        <v>80</v>
      </c>
      <c r="N30" s="27" t="s">
        <v>88</v>
      </c>
      <c r="O30" s="24">
        <v>98.4</v>
      </c>
      <c r="P30" s="42">
        <v>4.0000000000000018E-4</v>
      </c>
      <c r="Q30" s="23">
        <v>4.1999999999999997E-3</v>
      </c>
      <c r="R30" s="23">
        <v>6.7000000000000002E-3</v>
      </c>
      <c r="S30" s="23">
        <v>8.2000000000000007E-3</v>
      </c>
      <c r="T30" s="17"/>
    </row>
    <row r="31" spans="1:20" ht="14.25" customHeight="1">
      <c r="A31" s="159" t="s">
        <v>94</v>
      </c>
      <c r="B31" s="17" t="s">
        <v>89</v>
      </c>
      <c r="C31" s="158" t="s">
        <v>117</v>
      </c>
      <c r="D31" s="109">
        <v>-40.503552159443394</v>
      </c>
      <c r="E31" s="109">
        <v>-9.4107170962278648</v>
      </c>
      <c r="F31" s="18">
        <v>2002</v>
      </c>
      <c r="G31" s="19" t="s">
        <v>90</v>
      </c>
      <c r="H31" s="18" t="s">
        <v>177</v>
      </c>
      <c r="I31" s="17" t="s">
        <v>91</v>
      </c>
      <c r="J31" s="158" t="s">
        <v>92</v>
      </c>
      <c r="K31" s="18">
        <v>1200</v>
      </c>
      <c r="L31" s="158">
        <v>0.01</v>
      </c>
      <c r="M31" s="17" t="s">
        <v>80</v>
      </c>
      <c r="N31" s="27" t="s">
        <v>88</v>
      </c>
      <c r="O31" s="24">
        <v>31.5</v>
      </c>
      <c r="P31" s="42">
        <v>9.9999999999999915E-4</v>
      </c>
      <c r="Q31" s="23">
        <v>8.6E-3</v>
      </c>
      <c r="R31" s="23">
        <v>1.2999999999999999E-2</v>
      </c>
      <c r="S31" s="23">
        <v>1.4999999999999999E-2</v>
      </c>
      <c r="T31" s="17"/>
    </row>
    <row r="32" spans="1:20" ht="14.25" customHeight="1">
      <c r="A32" s="159" t="s">
        <v>94</v>
      </c>
      <c r="B32" s="17" t="s">
        <v>89</v>
      </c>
      <c r="C32" s="158" t="s">
        <v>137</v>
      </c>
      <c r="D32" s="155">
        <v>-51.162773423878093</v>
      </c>
      <c r="E32" s="155">
        <v>-23.312156000000005</v>
      </c>
      <c r="F32" s="18">
        <v>2002</v>
      </c>
      <c r="G32" s="19" t="s">
        <v>90</v>
      </c>
      <c r="H32" s="18" t="s">
        <v>177</v>
      </c>
      <c r="I32" s="17" t="s">
        <v>91</v>
      </c>
      <c r="J32" s="158" t="s">
        <v>92</v>
      </c>
      <c r="K32" s="18">
        <v>900</v>
      </c>
      <c r="L32" s="158">
        <v>0.01</v>
      </c>
      <c r="M32" s="17" t="s">
        <v>80</v>
      </c>
      <c r="N32" s="27" t="s">
        <v>88</v>
      </c>
      <c r="O32" s="24">
        <v>94</v>
      </c>
      <c r="P32" s="42">
        <v>3.0000000000000079E-4</v>
      </c>
      <c r="Q32" s="23">
        <v>4.7999999999999996E-3</v>
      </c>
      <c r="R32" s="23">
        <v>7.9000000000000008E-3</v>
      </c>
      <c r="S32" s="23">
        <v>9.7999999999999997E-3</v>
      </c>
      <c r="T32" s="17"/>
    </row>
    <row r="33" spans="1:20" ht="14.25" customHeight="1" thickBot="1">
      <c r="A33" s="11" t="s">
        <v>94</v>
      </c>
      <c r="B33" s="21" t="s">
        <v>89</v>
      </c>
      <c r="C33" s="11" t="s">
        <v>147</v>
      </c>
      <c r="D33" s="110">
        <v>-51.939881870252066</v>
      </c>
      <c r="E33" s="110">
        <v>-23.422280000000004</v>
      </c>
      <c r="F33" s="21">
        <v>2002</v>
      </c>
      <c r="G33" s="22" t="s">
        <v>90</v>
      </c>
      <c r="H33" s="21" t="s">
        <v>177</v>
      </c>
      <c r="I33" s="21" t="s">
        <v>91</v>
      </c>
      <c r="J33" s="11" t="s">
        <v>92</v>
      </c>
      <c r="K33" s="21">
        <v>1800</v>
      </c>
      <c r="L33" s="11">
        <v>0.01</v>
      </c>
      <c r="M33" s="21" t="s">
        <v>80</v>
      </c>
      <c r="N33" s="11" t="s">
        <v>88</v>
      </c>
      <c r="O33" s="25">
        <v>86.7</v>
      </c>
      <c r="P33" s="44">
        <v>4.9999999999999958E-4</v>
      </c>
      <c r="Q33" s="29">
        <v>4.7999999999999996E-3</v>
      </c>
      <c r="R33" s="29">
        <v>8.0999999999999996E-3</v>
      </c>
      <c r="S33" s="29">
        <v>0.01</v>
      </c>
      <c r="T33" s="17"/>
    </row>
    <row r="34" spans="1:20" ht="14.25" customHeight="1">
      <c r="A34" s="159" t="s">
        <v>94</v>
      </c>
      <c r="B34" s="17" t="s">
        <v>89</v>
      </c>
      <c r="C34" s="18" t="s">
        <v>100</v>
      </c>
      <c r="D34" s="109">
        <v>-50.439226072752582</v>
      </c>
      <c r="E34" s="109">
        <v>-21.205476000000004</v>
      </c>
      <c r="F34" s="18">
        <v>2002</v>
      </c>
      <c r="G34" s="19" t="s">
        <v>90</v>
      </c>
      <c r="H34" s="18" t="s">
        <v>188</v>
      </c>
      <c r="I34" s="17" t="s">
        <v>43</v>
      </c>
      <c r="J34" s="34" t="s">
        <v>93</v>
      </c>
      <c r="K34" s="18">
        <v>300</v>
      </c>
      <c r="L34" s="10">
        <v>25</v>
      </c>
      <c r="M34" s="158" t="s">
        <v>11</v>
      </c>
      <c r="N34" s="158" t="s">
        <v>39</v>
      </c>
      <c r="O34" s="24">
        <v>89.3</v>
      </c>
      <c r="T34" s="17"/>
    </row>
    <row r="35" spans="1:20" ht="14.25" customHeight="1">
      <c r="A35" s="159" t="s">
        <v>94</v>
      </c>
      <c r="B35" s="17" t="s">
        <v>89</v>
      </c>
      <c r="C35" s="158" t="s">
        <v>101</v>
      </c>
      <c r="D35" s="109">
        <v>-48.567377839455055</v>
      </c>
      <c r="E35" s="109">
        <v>-20.558455515000002</v>
      </c>
      <c r="F35" s="18">
        <v>2002</v>
      </c>
      <c r="G35" s="19" t="s">
        <v>90</v>
      </c>
      <c r="H35" s="18" t="s">
        <v>188</v>
      </c>
      <c r="I35" s="17" t="s">
        <v>43</v>
      </c>
      <c r="J35" s="158" t="s">
        <v>93</v>
      </c>
      <c r="K35" s="158">
        <v>360</v>
      </c>
      <c r="L35" s="10">
        <v>25</v>
      </c>
      <c r="M35" s="158" t="s">
        <v>11</v>
      </c>
      <c r="N35" s="158" t="s">
        <v>39</v>
      </c>
      <c r="O35" s="24">
        <v>98.6</v>
      </c>
      <c r="T35" s="17"/>
    </row>
    <row r="36" spans="1:20" ht="14.25" customHeight="1">
      <c r="A36" s="159" t="s">
        <v>94</v>
      </c>
      <c r="B36" s="17" t="s">
        <v>89</v>
      </c>
      <c r="C36" s="158" t="s">
        <v>102</v>
      </c>
      <c r="D36" s="109">
        <v>-49.083000867090362</v>
      </c>
      <c r="E36" s="109">
        <v>-22.325122500000006</v>
      </c>
      <c r="F36" s="18">
        <v>2002</v>
      </c>
      <c r="G36" s="19" t="s">
        <v>90</v>
      </c>
      <c r="H36" s="18" t="s">
        <v>188</v>
      </c>
      <c r="I36" s="17" t="s">
        <v>43</v>
      </c>
      <c r="J36" s="158" t="s">
        <v>93</v>
      </c>
      <c r="K36" s="158">
        <v>240</v>
      </c>
      <c r="L36" s="10">
        <v>25</v>
      </c>
      <c r="M36" s="158" t="s">
        <v>11</v>
      </c>
      <c r="N36" s="158" t="s">
        <v>39</v>
      </c>
      <c r="O36" s="24">
        <v>98.2</v>
      </c>
      <c r="T36" s="17"/>
    </row>
    <row r="37" spans="1:20" ht="14.25" customHeight="1">
      <c r="A37" s="159" t="s">
        <v>94</v>
      </c>
      <c r="B37" s="17" t="s">
        <v>89</v>
      </c>
      <c r="C37" s="158" t="s">
        <v>104</v>
      </c>
      <c r="D37" s="109">
        <v>-47.06015627297316</v>
      </c>
      <c r="E37" s="109">
        <v>-22.907342500000002</v>
      </c>
      <c r="F37" s="18">
        <v>2002</v>
      </c>
      <c r="G37" s="19" t="s">
        <v>90</v>
      </c>
      <c r="H37" s="18" t="s">
        <v>188</v>
      </c>
      <c r="I37" s="17" t="s">
        <v>43</v>
      </c>
      <c r="J37" s="158" t="s">
        <v>93</v>
      </c>
      <c r="K37" s="158">
        <v>300</v>
      </c>
      <c r="L37" s="10">
        <v>25</v>
      </c>
      <c r="M37" s="158" t="s">
        <v>11</v>
      </c>
      <c r="N37" s="158" t="s">
        <v>39</v>
      </c>
      <c r="O37" s="24">
        <v>88</v>
      </c>
      <c r="T37" s="17"/>
    </row>
    <row r="38" spans="1:20" ht="14.25" customHeight="1">
      <c r="A38" s="159" t="s">
        <v>94</v>
      </c>
      <c r="B38" s="17" t="s">
        <v>89</v>
      </c>
      <c r="C38" s="158" t="s">
        <v>107</v>
      </c>
      <c r="D38" s="109">
        <v>-49.951645643103269</v>
      </c>
      <c r="E38" s="109">
        <v>-22.122743500000002</v>
      </c>
      <c r="F38" s="18">
        <v>2002</v>
      </c>
      <c r="G38" s="19" t="s">
        <v>90</v>
      </c>
      <c r="H38" s="18" t="s">
        <v>188</v>
      </c>
      <c r="I38" s="17" t="s">
        <v>43</v>
      </c>
      <c r="J38" s="158" t="s">
        <v>93</v>
      </c>
      <c r="K38" s="158">
        <v>300</v>
      </c>
      <c r="L38" s="10">
        <v>25</v>
      </c>
      <c r="M38" s="158" t="s">
        <v>11</v>
      </c>
      <c r="N38" s="158" t="s">
        <v>39</v>
      </c>
      <c r="O38" s="51">
        <v>100</v>
      </c>
      <c r="T38" s="17"/>
    </row>
    <row r="39" spans="1:20" ht="14.25" customHeight="1">
      <c r="A39" s="159" t="s">
        <v>94</v>
      </c>
      <c r="B39" s="17" t="s">
        <v>89</v>
      </c>
      <c r="C39" s="158" t="s">
        <v>108</v>
      </c>
      <c r="D39" s="109">
        <v>-51.386765581912492</v>
      </c>
      <c r="E39" s="109">
        <v>-24.494251427999906</v>
      </c>
      <c r="F39" s="18">
        <v>2002</v>
      </c>
      <c r="G39" s="19" t="s">
        <v>90</v>
      </c>
      <c r="H39" s="18" t="s">
        <v>188</v>
      </c>
      <c r="I39" s="17" t="s">
        <v>43</v>
      </c>
      <c r="J39" s="158" t="s">
        <v>93</v>
      </c>
      <c r="K39" s="18">
        <v>420</v>
      </c>
      <c r="L39" s="10">
        <v>25</v>
      </c>
      <c r="M39" s="158" t="s">
        <v>11</v>
      </c>
      <c r="N39" s="158" t="s">
        <v>39</v>
      </c>
      <c r="O39" s="24">
        <v>99.7</v>
      </c>
      <c r="T39" s="17"/>
    </row>
    <row r="40" spans="1:20" ht="14.25" customHeight="1">
      <c r="A40" s="159" t="s">
        <v>94</v>
      </c>
      <c r="B40" s="17" t="s">
        <v>89</v>
      </c>
      <c r="C40" s="158" t="s">
        <v>109</v>
      </c>
      <c r="D40" s="109">
        <v>-47.805475915541528</v>
      </c>
      <c r="E40" s="109">
        <v>-21.184834500000004</v>
      </c>
      <c r="F40" s="18">
        <v>2002</v>
      </c>
      <c r="G40" s="19" t="s">
        <v>90</v>
      </c>
      <c r="H40" s="18" t="s">
        <v>188</v>
      </c>
      <c r="I40" s="17" t="s">
        <v>43</v>
      </c>
      <c r="J40" s="158" t="s">
        <v>93</v>
      </c>
      <c r="K40" s="18">
        <v>360</v>
      </c>
      <c r="L40" s="10">
        <v>25</v>
      </c>
      <c r="M40" s="158" t="s">
        <v>11</v>
      </c>
      <c r="N40" s="158" t="s">
        <v>39</v>
      </c>
      <c r="O40" s="24">
        <v>92</v>
      </c>
      <c r="T40" s="17"/>
    </row>
    <row r="41" spans="1:20" ht="14.25" customHeight="1">
      <c r="A41" s="159" t="s">
        <v>94</v>
      </c>
      <c r="B41" s="17" t="s">
        <v>89</v>
      </c>
      <c r="C41" s="158" t="s">
        <v>110</v>
      </c>
      <c r="D41" s="109">
        <v>-46.331370849190684</v>
      </c>
      <c r="E41" s="109">
        <v>-23.933737500000003</v>
      </c>
      <c r="F41" s="18">
        <v>2002</v>
      </c>
      <c r="G41" s="19" t="s">
        <v>90</v>
      </c>
      <c r="H41" s="18" t="s">
        <v>188</v>
      </c>
      <c r="I41" s="17" t="s">
        <v>43</v>
      </c>
      <c r="J41" s="158" t="s">
        <v>93</v>
      </c>
      <c r="K41" s="18">
        <v>420</v>
      </c>
      <c r="L41" s="10">
        <v>25</v>
      </c>
      <c r="M41" s="158" t="s">
        <v>11</v>
      </c>
      <c r="N41" s="158" t="s">
        <v>39</v>
      </c>
      <c r="O41" s="24">
        <v>84.1</v>
      </c>
      <c r="T41" s="17"/>
    </row>
    <row r="42" spans="1:20" ht="14.25" customHeight="1">
      <c r="A42" s="159" t="s">
        <v>94</v>
      </c>
      <c r="B42" s="17" t="s">
        <v>89</v>
      </c>
      <c r="C42" s="158" t="s">
        <v>112</v>
      </c>
      <c r="D42" s="109">
        <v>-49.381347685025794</v>
      </c>
      <c r="E42" s="109">
        <v>-20.812636500000004</v>
      </c>
      <c r="F42" s="18">
        <v>2002</v>
      </c>
      <c r="G42" s="19" t="s">
        <v>90</v>
      </c>
      <c r="H42" s="18" t="s">
        <v>188</v>
      </c>
      <c r="I42" s="17" t="s">
        <v>43</v>
      </c>
      <c r="J42" s="158" t="s">
        <v>93</v>
      </c>
      <c r="K42" s="18">
        <v>240</v>
      </c>
      <c r="L42" s="10">
        <v>25</v>
      </c>
      <c r="M42" s="158" t="s">
        <v>11</v>
      </c>
      <c r="N42" s="158" t="s">
        <v>39</v>
      </c>
      <c r="O42" s="51">
        <v>100</v>
      </c>
      <c r="T42" s="17"/>
    </row>
    <row r="43" spans="1:20" ht="14.25" customHeight="1">
      <c r="A43" s="159" t="s">
        <v>94</v>
      </c>
      <c r="B43" s="17" t="s">
        <v>89</v>
      </c>
      <c r="C43" s="158" t="s">
        <v>115</v>
      </c>
      <c r="D43" s="109">
        <v>-60.670532672965052</v>
      </c>
      <c r="E43" s="109">
        <v>2.8166819191043904</v>
      </c>
      <c r="F43" s="18">
        <v>2002</v>
      </c>
      <c r="G43" s="19" t="s">
        <v>90</v>
      </c>
      <c r="H43" s="18" t="s">
        <v>188</v>
      </c>
      <c r="I43" s="17" t="s">
        <v>43</v>
      </c>
      <c r="J43" s="158" t="s">
        <v>93</v>
      </c>
      <c r="K43" s="18">
        <v>240</v>
      </c>
      <c r="L43" s="10">
        <v>25</v>
      </c>
      <c r="M43" s="158" t="s">
        <v>11</v>
      </c>
      <c r="N43" s="158" t="s">
        <v>39</v>
      </c>
      <c r="O43" s="51">
        <v>100</v>
      </c>
      <c r="T43" s="17"/>
    </row>
    <row r="44" spans="1:20" ht="14.25" customHeight="1">
      <c r="A44" s="159" t="s">
        <v>94</v>
      </c>
      <c r="B44" s="17" t="s">
        <v>89</v>
      </c>
      <c r="C44" s="17" t="s">
        <v>116</v>
      </c>
      <c r="D44" s="109">
        <v>-38.589927555043182</v>
      </c>
      <c r="E44" s="109">
        <v>-3.7238050350000007</v>
      </c>
      <c r="F44" s="18">
        <v>2002</v>
      </c>
      <c r="G44" s="19" t="s">
        <v>90</v>
      </c>
      <c r="H44" s="18" t="s">
        <v>188</v>
      </c>
      <c r="I44" s="17" t="s">
        <v>43</v>
      </c>
      <c r="J44" s="158" t="s">
        <v>93</v>
      </c>
      <c r="K44" s="18">
        <v>240</v>
      </c>
      <c r="L44" s="10">
        <v>25</v>
      </c>
      <c r="M44" s="158" t="s">
        <v>11</v>
      </c>
      <c r="N44" s="158" t="s">
        <v>39</v>
      </c>
      <c r="O44" s="24">
        <v>87.5</v>
      </c>
      <c r="T44" s="17"/>
    </row>
    <row r="45" spans="1:20" ht="14.25" customHeight="1">
      <c r="A45" s="159" t="s">
        <v>94</v>
      </c>
      <c r="B45" s="17" t="s">
        <v>89</v>
      </c>
      <c r="C45" s="158" t="s">
        <v>117</v>
      </c>
      <c r="D45" s="109">
        <v>-40.503552159443394</v>
      </c>
      <c r="E45" s="109">
        <v>-9.4107170962278648</v>
      </c>
      <c r="F45" s="18">
        <v>2002</v>
      </c>
      <c r="G45" s="19" t="s">
        <v>90</v>
      </c>
      <c r="H45" s="18" t="s">
        <v>188</v>
      </c>
      <c r="I45" s="17" t="s">
        <v>43</v>
      </c>
      <c r="J45" s="158" t="s">
        <v>93</v>
      </c>
      <c r="K45" s="18">
        <v>300</v>
      </c>
      <c r="L45" s="10">
        <v>25</v>
      </c>
      <c r="M45" s="158" t="s">
        <v>11</v>
      </c>
      <c r="N45" s="158" t="s">
        <v>39</v>
      </c>
      <c r="O45" s="51">
        <v>100</v>
      </c>
      <c r="T45" s="17"/>
    </row>
    <row r="46" spans="1:20" ht="14.25" customHeight="1">
      <c r="A46" s="159" t="s">
        <v>94</v>
      </c>
      <c r="B46" s="17" t="s">
        <v>89</v>
      </c>
      <c r="C46" s="158" t="s">
        <v>146</v>
      </c>
      <c r="D46" s="109">
        <v>-54.58710248860465</v>
      </c>
      <c r="E46" s="109">
        <v>-25.542493279529253</v>
      </c>
      <c r="F46" s="18">
        <v>2002</v>
      </c>
      <c r="G46" s="19" t="s">
        <v>90</v>
      </c>
      <c r="H46" s="18" t="s">
        <v>188</v>
      </c>
      <c r="I46" s="17" t="s">
        <v>43</v>
      </c>
      <c r="J46" s="158" t="s">
        <v>93</v>
      </c>
      <c r="K46" s="18">
        <v>300</v>
      </c>
      <c r="L46" s="10">
        <v>25</v>
      </c>
      <c r="M46" s="158" t="s">
        <v>11</v>
      </c>
      <c r="N46" s="158" t="s">
        <v>39</v>
      </c>
      <c r="O46" s="51">
        <v>100</v>
      </c>
      <c r="P46" s="17"/>
      <c r="Q46" s="17"/>
      <c r="R46" s="17"/>
      <c r="S46" s="17"/>
      <c r="T46" s="17"/>
    </row>
    <row r="47" spans="1:20" ht="14.25" customHeight="1">
      <c r="A47" s="159" t="s">
        <v>94</v>
      </c>
      <c r="B47" s="17" t="s">
        <v>89</v>
      </c>
      <c r="C47" s="158" t="s">
        <v>137</v>
      </c>
      <c r="D47" s="155">
        <v>-51.162773423878093</v>
      </c>
      <c r="E47" s="155">
        <v>-23.312156000000005</v>
      </c>
      <c r="F47" s="18">
        <v>2002</v>
      </c>
      <c r="G47" s="19" t="s">
        <v>90</v>
      </c>
      <c r="H47" s="18" t="s">
        <v>188</v>
      </c>
      <c r="I47" s="17" t="s">
        <v>43</v>
      </c>
      <c r="J47" s="158" t="s">
        <v>93</v>
      </c>
      <c r="K47" s="18">
        <v>240</v>
      </c>
      <c r="L47" s="10">
        <v>25</v>
      </c>
      <c r="M47" s="158" t="s">
        <v>11</v>
      </c>
      <c r="N47" s="158" t="s">
        <v>39</v>
      </c>
      <c r="O47" s="24">
        <v>96.2</v>
      </c>
      <c r="P47" s="17"/>
      <c r="Q47" s="17"/>
      <c r="R47" s="17"/>
      <c r="S47" s="17"/>
      <c r="T47" s="17"/>
    </row>
    <row r="48" spans="1:20" ht="14.25" customHeight="1" thickBot="1">
      <c r="A48" s="11" t="s">
        <v>94</v>
      </c>
      <c r="B48" s="21" t="s">
        <v>89</v>
      </c>
      <c r="C48" s="11" t="s">
        <v>147</v>
      </c>
      <c r="D48" s="110">
        <v>-51.939881870252066</v>
      </c>
      <c r="E48" s="110">
        <v>-23.422280000000004</v>
      </c>
      <c r="F48" s="21">
        <v>2002</v>
      </c>
      <c r="G48" s="22" t="s">
        <v>90</v>
      </c>
      <c r="H48" s="21" t="s">
        <v>188</v>
      </c>
      <c r="I48" s="21" t="s">
        <v>43</v>
      </c>
      <c r="J48" s="11" t="s">
        <v>93</v>
      </c>
      <c r="K48" s="21">
        <v>300</v>
      </c>
      <c r="L48" s="30">
        <v>25</v>
      </c>
      <c r="M48" s="11" t="s">
        <v>11</v>
      </c>
      <c r="N48" s="11" t="s">
        <v>39</v>
      </c>
      <c r="O48" s="25">
        <v>91.5</v>
      </c>
      <c r="P48" s="17"/>
      <c r="Q48" s="17"/>
      <c r="R48" s="17"/>
      <c r="S48" s="17"/>
      <c r="T48" s="17"/>
    </row>
    <row r="49" spans="1:19" ht="14.25" customHeight="1">
      <c r="A49" s="159" t="s">
        <v>94</v>
      </c>
      <c r="B49" s="17" t="s">
        <v>89</v>
      </c>
      <c r="C49" s="18" t="s">
        <v>100</v>
      </c>
      <c r="D49" s="109">
        <v>-50.439226072752582</v>
      </c>
      <c r="E49" s="109">
        <v>-21.205476000000004</v>
      </c>
      <c r="F49" s="18">
        <v>2002</v>
      </c>
      <c r="G49" s="19" t="s">
        <v>90</v>
      </c>
      <c r="H49" s="18" t="s">
        <v>188</v>
      </c>
      <c r="I49" s="17" t="s">
        <v>43</v>
      </c>
      <c r="J49" s="18" t="s">
        <v>92</v>
      </c>
      <c r="K49" s="18">
        <v>240</v>
      </c>
      <c r="L49" s="24">
        <v>200</v>
      </c>
      <c r="M49" s="158" t="s">
        <v>11</v>
      </c>
      <c r="N49" s="158" t="s">
        <v>39</v>
      </c>
      <c r="O49" s="51">
        <v>100</v>
      </c>
      <c r="P49" s="28"/>
      <c r="Q49" s="17"/>
      <c r="R49" s="17"/>
      <c r="S49" s="17"/>
    </row>
    <row r="50" spans="1:19" ht="14.25" customHeight="1">
      <c r="A50" s="159" t="s">
        <v>94</v>
      </c>
      <c r="B50" s="17" t="s">
        <v>89</v>
      </c>
      <c r="C50" s="158" t="s">
        <v>101</v>
      </c>
      <c r="D50" s="109">
        <v>-48.567377839455055</v>
      </c>
      <c r="E50" s="109">
        <v>-20.558455515000002</v>
      </c>
      <c r="F50" s="18">
        <v>2002</v>
      </c>
      <c r="G50" s="19" t="s">
        <v>90</v>
      </c>
      <c r="H50" s="18" t="s">
        <v>188</v>
      </c>
      <c r="I50" s="17" t="s">
        <v>43</v>
      </c>
      <c r="J50" s="17" t="s">
        <v>92</v>
      </c>
      <c r="K50" s="18">
        <v>360</v>
      </c>
      <c r="L50" s="24">
        <v>200</v>
      </c>
      <c r="M50" s="158" t="s">
        <v>11</v>
      </c>
      <c r="N50" s="158" t="s">
        <v>39</v>
      </c>
      <c r="O50" s="24">
        <v>97.5</v>
      </c>
      <c r="P50" s="221"/>
      <c r="Q50" s="36"/>
      <c r="R50" s="36"/>
      <c r="S50" s="17"/>
    </row>
    <row r="51" spans="1:19" ht="14.25" customHeight="1">
      <c r="A51" s="159" t="s">
        <v>94</v>
      </c>
      <c r="B51" s="17" t="s">
        <v>89</v>
      </c>
      <c r="C51" s="158" t="s">
        <v>102</v>
      </c>
      <c r="D51" s="109">
        <v>-49.083000867090362</v>
      </c>
      <c r="E51" s="109">
        <v>-22.325122500000006</v>
      </c>
      <c r="F51" s="18">
        <v>2002</v>
      </c>
      <c r="G51" s="19" t="s">
        <v>90</v>
      </c>
      <c r="H51" s="18" t="s">
        <v>188</v>
      </c>
      <c r="I51" s="17" t="s">
        <v>43</v>
      </c>
      <c r="J51" s="17" t="s">
        <v>92</v>
      </c>
      <c r="K51" s="18">
        <v>300</v>
      </c>
      <c r="L51" s="24">
        <v>200</v>
      </c>
      <c r="M51" s="158" t="s">
        <v>11</v>
      </c>
      <c r="N51" s="158" t="s">
        <v>39</v>
      </c>
      <c r="O51" s="51">
        <v>100</v>
      </c>
      <c r="P51" s="220"/>
      <c r="Q51" s="7"/>
      <c r="R51" s="129"/>
      <c r="S51" s="17"/>
    </row>
    <row r="52" spans="1:19" ht="14.25" customHeight="1">
      <c r="A52" s="159" t="s">
        <v>94</v>
      </c>
      <c r="B52" s="17" t="s">
        <v>89</v>
      </c>
      <c r="C52" s="158" t="s">
        <v>104</v>
      </c>
      <c r="D52" s="109">
        <v>-47.06015627297316</v>
      </c>
      <c r="E52" s="109">
        <v>-22.907342500000002</v>
      </c>
      <c r="F52" s="18">
        <v>2002</v>
      </c>
      <c r="G52" s="19" t="s">
        <v>90</v>
      </c>
      <c r="H52" s="18" t="s">
        <v>188</v>
      </c>
      <c r="I52" s="17" t="s">
        <v>43</v>
      </c>
      <c r="J52" s="17" t="s">
        <v>92</v>
      </c>
      <c r="K52" s="18">
        <v>360</v>
      </c>
      <c r="L52" s="24">
        <v>200</v>
      </c>
      <c r="M52" s="158" t="s">
        <v>11</v>
      </c>
      <c r="N52" s="158" t="s">
        <v>39</v>
      </c>
      <c r="O52" s="24">
        <v>88.7</v>
      </c>
      <c r="P52" s="220"/>
      <c r="Q52" s="7"/>
      <c r="R52" s="7"/>
      <c r="S52" s="17"/>
    </row>
    <row r="53" spans="1:19" ht="14.25" customHeight="1">
      <c r="A53" s="159" t="s">
        <v>94</v>
      </c>
      <c r="B53" s="17" t="s">
        <v>89</v>
      </c>
      <c r="C53" s="158" t="s">
        <v>107</v>
      </c>
      <c r="D53" s="109">
        <v>-49.951645643103269</v>
      </c>
      <c r="E53" s="109">
        <v>-22.122743500000002</v>
      </c>
      <c r="F53" s="18">
        <v>2002</v>
      </c>
      <c r="G53" s="19" t="s">
        <v>90</v>
      </c>
      <c r="H53" s="18" t="s">
        <v>188</v>
      </c>
      <c r="I53" s="17" t="s">
        <v>43</v>
      </c>
      <c r="J53" s="17" t="s">
        <v>92</v>
      </c>
      <c r="K53" s="18">
        <v>300</v>
      </c>
      <c r="L53" s="24">
        <v>200</v>
      </c>
      <c r="M53" s="158" t="s">
        <v>11</v>
      </c>
      <c r="N53" s="158" t="s">
        <v>39</v>
      </c>
      <c r="O53" s="51">
        <v>100</v>
      </c>
      <c r="P53" s="220"/>
      <c r="Q53" s="7"/>
      <c r="R53" s="129"/>
    </row>
    <row r="54" spans="1:19" ht="14.25" customHeight="1">
      <c r="A54" s="159" t="s">
        <v>94</v>
      </c>
      <c r="B54" s="17" t="s">
        <v>89</v>
      </c>
      <c r="C54" s="158" t="s">
        <v>108</v>
      </c>
      <c r="D54" s="109">
        <v>-51.386765581912492</v>
      </c>
      <c r="E54" s="109">
        <v>-24.494251427999906</v>
      </c>
      <c r="F54" s="18">
        <v>2002</v>
      </c>
      <c r="G54" s="19" t="s">
        <v>90</v>
      </c>
      <c r="H54" s="18" t="s">
        <v>188</v>
      </c>
      <c r="I54" s="17" t="s">
        <v>43</v>
      </c>
      <c r="J54" s="17" t="s">
        <v>92</v>
      </c>
      <c r="K54" s="18">
        <v>420</v>
      </c>
      <c r="L54" s="24">
        <v>200</v>
      </c>
      <c r="M54" s="158" t="s">
        <v>11</v>
      </c>
      <c r="N54" s="158" t="s">
        <v>39</v>
      </c>
      <c r="O54" s="24">
        <v>96.2</v>
      </c>
      <c r="P54" s="220"/>
      <c r="Q54" s="7"/>
      <c r="R54" s="7"/>
    </row>
    <row r="55" spans="1:19" ht="14.25" customHeight="1">
      <c r="A55" s="159" t="s">
        <v>94</v>
      </c>
      <c r="B55" s="17" t="s">
        <v>89</v>
      </c>
      <c r="C55" s="158" t="s">
        <v>109</v>
      </c>
      <c r="D55" s="109">
        <v>-47.805475915541528</v>
      </c>
      <c r="E55" s="109">
        <v>-21.184834500000004</v>
      </c>
      <c r="F55" s="18">
        <v>2002</v>
      </c>
      <c r="G55" s="19" t="s">
        <v>90</v>
      </c>
      <c r="H55" s="18" t="s">
        <v>188</v>
      </c>
      <c r="I55" s="17" t="s">
        <v>43</v>
      </c>
      <c r="J55" s="17" t="s">
        <v>92</v>
      </c>
      <c r="K55" s="18">
        <v>300</v>
      </c>
      <c r="L55" s="24">
        <v>200</v>
      </c>
      <c r="M55" s="158" t="s">
        <v>11</v>
      </c>
      <c r="N55" s="158" t="s">
        <v>39</v>
      </c>
      <c r="O55" s="24">
        <v>92</v>
      </c>
      <c r="P55" s="220"/>
      <c r="Q55" s="7"/>
      <c r="R55" s="129"/>
    </row>
    <row r="56" spans="1:19" ht="14.25" customHeight="1">
      <c r="A56" s="159" t="s">
        <v>94</v>
      </c>
      <c r="B56" s="17" t="s">
        <v>89</v>
      </c>
      <c r="C56" s="158" t="s">
        <v>110</v>
      </c>
      <c r="D56" s="109">
        <v>-46.331370849190684</v>
      </c>
      <c r="E56" s="109">
        <v>-23.933737500000003</v>
      </c>
      <c r="F56" s="18">
        <v>2002</v>
      </c>
      <c r="G56" s="19" t="s">
        <v>90</v>
      </c>
      <c r="H56" s="18" t="s">
        <v>188</v>
      </c>
      <c r="I56" s="17" t="s">
        <v>43</v>
      </c>
      <c r="J56" s="17" t="s">
        <v>92</v>
      </c>
      <c r="K56" s="18">
        <v>300</v>
      </c>
      <c r="L56" s="24">
        <v>200</v>
      </c>
      <c r="M56" s="158" t="s">
        <v>11</v>
      </c>
      <c r="N56" s="158" t="s">
        <v>39</v>
      </c>
      <c r="O56" s="24">
        <v>97.6</v>
      </c>
      <c r="P56" s="220"/>
      <c r="Q56" s="7"/>
      <c r="R56" s="7"/>
    </row>
    <row r="57" spans="1:19" ht="14.25" customHeight="1">
      <c r="A57" s="159" t="s">
        <v>94</v>
      </c>
      <c r="B57" s="17" t="s">
        <v>89</v>
      </c>
      <c r="C57" s="158" t="s">
        <v>112</v>
      </c>
      <c r="D57" s="109">
        <v>-49.381347685025794</v>
      </c>
      <c r="E57" s="109">
        <v>-20.812636500000004</v>
      </c>
      <c r="F57" s="18">
        <v>2002</v>
      </c>
      <c r="G57" s="19" t="s">
        <v>90</v>
      </c>
      <c r="H57" s="18" t="s">
        <v>188</v>
      </c>
      <c r="I57" s="17" t="s">
        <v>43</v>
      </c>
      <c r="J57" s="17" t="s">
        <v>92</v>
      </c>
      <c r="K57" s="18">
        <v>360</v>
      </c>
      <c r="L57" s="24">
        <v>200</v>
      </c>
      <c r="M57" s="158" t="s">
        <v>11</v>
      </c>
      <c r="N57" s="158" t="s">
        <v>39</v>
      </c>
      <c r="O57" s="24">
        <v>96.1</v>
      </c>
      <c r="P57" s="220"/>
      <c r="Q57" s="7"/>
      <c r="R57" s="129"/>
    </row>
    <row r="58" spans="1:19" ht="14.25" customHeight="1">
      <c r="A58" s="159" t="s">
        <v>94</v>
      </c>
      <c r="B58" s="17" t="s">
        <v>89</v>
      </c>
      <c r="C58" s="158" t="s">
        <v>117</v>
      </c>
      <c r="D58" s="109">
        <v>-40.503552159443394</v>
      </c>
      <c r="E58" s="109">
        <v>-9.4107170962278648</v>
      </c>
      <c r="F58" s="18">
        <v>2002</v>
      </c>
      <c r="G58" s="19" t="s">
        <v>90</v>
      </c>
      <c r="H58" s="18" t="s">
        <v>188</v>
      </c>
      <c r="I58" s="17" t="s">
        <v>43</v>
      </c>
      <c r="J58" s="17" t="s">
        <v>92</v>
      </c>
      <c r="K58" s="18">
        <v>240</v>
      </c>
      <c r="L58" s="24">
        <v>200</v>
      </c>
      <c r="M58" s="158" t="s">
        <v>11</v>
      </c>
      <c r="N58" s="158" t="s">
        <v>39</v>
      </c>
      <c r="O58" s="51">
        <v>100</v>
      </c>
      <c r="P58" s="220"/>
      <c r="Q58" s="7"/>
      <c r="R58" s="129"/>
    </row>
    <row r="59" spans="1:19" ht="14.25" customHeight="1">
      <c r="A59" s="159" t="s">
        <v>94</v>
      </c>
      <c r="B59" s="17" t="s">
        <v>89</v>
      </c>
      <c r="C59" s="158" t="s">
        <v>146</v>
      </c>
      <c r="D59" s="109">
        <v>-54.58710248860465</v>
      </c>
      <c r="E59" s="109">
        <v>-25.542493279529253</v>
      </c>
      <c r="F59" s="18">
        <v>2002</v>
      </c>
      <c r="G59" s="19" t="s">
        <v>90</v>
      </c>
      <c r="H59" s="18" t="s">
        <v>188</v>
      </c>
      <c r="I59" s="17" t="s">
        <v>43</v>
      </c>
      <c r="J59" s="17" t="s">
        <v>92</v>
      </c>
      <c r="K59" s="18">
        <v>420</v>
      </c>
      <c r="L59" s="24">
        <v>200</v>
      </c>
      <c r="M59" s="158" t="s">
        <v>11</v>
      </c>
      <c r="N59" s="158" t="s">
        <v>39</v>
      </c>
      <c r="O59" s="24">
        <v>90.2</v>
      </c>
      <c r="P59" s="220"/>
      <c r="Q59" s="7"/>
      <c r="R59" s="129"/>
    </row>
    <row r="60" spans="1:19" ht="14.25" customHeight="1">
      <c r="A60" s="159" t="s">
        <v>94</v>
      </c>
      <c r="B60" s="17" t="s">
        <v>89</v>
      </c>
      <c r="C60" s="158" t="s">
        <v>137</v>
      </c>
      <c r="D60" s="155">
        <v>-51.162773423878093</v>
      </c>
      <c r="E60" s="155">
        <v>-23.312156000000005</v>
      </c>
      <c r="F60" s="18">
        <v>2002</v>
      </c>
      <c r="G60" s="19" t="s">
        <v>90</v>
      </c>
      <c r="H60" s="18" t="s">
        <v>188</v>
      </c>
      <c r="I60" s="17" t="s">
        <v>43</v>
      </c>
      <c r="J60" s="17" t="s">
        <v>92</v>
      </c>
      <c r="K60" s="18">
        <v>360</v>
      </c>
      <c r="L60" s="24">
        <v>200</v>
      </c>
      <c r="M60" s="158" t="s">
        <v>11</v>
      </c>
      <c r="N60" s="158" t="s">
        <v>39</v>
      </c>
      <c r="O60" s="24">
        <v>95.8</v>
      </c>
      <c r="P60" s="220"/>
      <c r="Q60" s="7"/>
      <c r="R60" s="129"/>
    </row>
    <row r="61" spans="1:19" ht="14.25" customHeight="1" thickBot="1">
      <c r="A61" s="11" t="s">
        <v>94</v>
      </c>
      <c r="B61" s="21" t="s">
        <v>89</v>
      </c>
      <c r="C61" s="11" t="s">
        <v>147</v>
      </c>
      <c r="D61" s="110">
        <v>-51.939881870252066</v>
      </c>
      <c r="E61" s="110">
        <v>-23.422280000000004</v>
      </c>
      <c r="F61" s="21">
        <v>2002</v>
      </c>
      <c r="G61" s="22" t="s">
        <v>90</v>
      </c>
      <c r="H61" s="21" t="s">
        <v>188</v>
      </c>
      <c r="I61" s="21" t="s">
        <v>43</v>
      </c>
      <c r="J61" s="21" t="s">
        <v>92</v>
      </c>
      <c r="K61" s="21">
        <v>300</v>
      </c>
      <c r="L61" s="25">
        <v>200</v>
      </c>
      <c r="M61" s="11" t="s">
        <v>11</v>
      </c>
      <c r="N61" s="11" t="s">
        <v>39</v>
      </c>
      <c r="O61" s="25">
        <v>99.7</v>
      </c>
      <c r="P61" s="220"/>
      <c r="Q61" s="7"/>
      <c r="R61" s="7"/>
    </row>
    <row r="62" spans="1:19" ht="14.25" customHeight="1">
      <c r="A62" s="159" t="s">
        <v>94</v>
      </c>
      <c r="B62" s="17" t="s">
        <v>89</v>
      </c>
      <c r="C62" s="18" t="s">
        <v>100</v>
      </c>
      <c r="D62" s="109">
        <v>-50.439226072752582</v>
      </c>
      <c r="E62" s="109">
        <v>-21.205476000000004</v>
      </c>
      <c r="F62" s="18">
        <v>2002</v>
      </c>
      <c r="G62" s="19" t="s">
        <v>90</v>
      </c>
      <c r="H62" s="18" t="s">
        <v>188</v>
      </c>
      <c r="I62" s="17" t="s">
        <v>43</v>
      </c>
      <c r="J62" s="18" t="s">
        <v>42</v>
      </c>
      <c r="K62" s="18">
        <v>120</v>
      </c>
      <c r="L62" s="24">
        <v>8</v>
      </c>
      <c r="M62" s="158" t="s">
        <v>11</v>
      </c>
      <c r="N62" s="18" t="s">
        <v>40</v>
      </c>
      <c r="O62" s="247">
        <v>100</v>
      </c>
      <c r="P62" s="220"/>
      <c r="Q62" s="7"/>
      <c r="R62" s="7"/>
    </row>
    <row r="63" spans="1:19" ht="14.25" customHeight="1">
      <c r="A63" s="159" t="s">
        <v>94</v>
      </c>
      <c r="B63" s="17" t="s">
        <v>89</v>
      </c>
      <c r="C63" s="158" t="s">
        <v>101</v>
      </c>
      <c r="D63" s="109">
        <v>-48.567377839455055</v>
      </c>
      <c r="E63" s="109">
        <v>-20.558455515000002</v>
      </c>
      <c r="F63" s="18">
        <v>2002</v>
      </c>
      <c r="G63" s="19" t="s">
        <v>90</v>
      </c>
      <c r="H63" s="18" t="s">
        <v>188</v>
      </c>
      <c r="I63" s="17" t="s">
        <v>43</v>
      </c>
      <c r="J63" s="17" t="s">
        <v>42</v>
      </c>
      <c r="K63" s="18">
        <v>60</v>
      </c>
      <c r="L63" s="24">
        <v>8</v>
      </c>
      <c r="M63" s="158" t="s">
        <v>11</v>
      </c>
      <c r="N63" s="17" t="s">
        <v>41</v>
      </c>
      <c r="O63" s="247">
        <v>100</v>
      </c>
      <c r="P63" s="220"/>
      <c r="Q63" s="7"/>
      <c r="R63" s="7"/>
    </row>
    <row r="64" spans="1:19" ht="14.25" customHeight="1">
      <c r="A64" s="159" t="s">
        <v>94</v>
      </c>
      <c r="B64" s="17" t="s">
        <v>89</v>
      </c>
      <c r="C64" s="158" t="s">
        <v>104</v>
      </c>
      <c r="D64" s="109">
        <v>-47.06015627297316</v>
      </c>
      <c r="E64" s="109">
        <v>-22.907342500000002</v>
      </c>
      <c r="F64" s="18">
        <v>2002</v>
      </c>
      <c r="G64" s="19" t="s">
        <v>90</v>
      </c>
      <c r="H64" s="18" t="s">
        <v>188</v>
      </c>
      <c r="I64" s="17" t="s">
        <v>43</v>
      </c>
      <c r="J64" s="17" t="s">
        <v>42</v>
      </c>
      <c r="K64" s="18">
        <v>240</v>
      </c>
      <c r="L64" s="24">
        <v>8</v>
      </c>
      <c r="M64" s="158" t="s">
        <v>11</v>
      </c>
      <c r="N64" s="17" t="s">
        <v>41</v>
      </c>
      <c r="O64" s="247">
        <v>100</v>
      </c>
      <c r="P64" s="220"/>
      <c r="Q64" s="7"/>
      <c r="R64" s="7"/>
    </row>
    <row r="65" spans="1:18" ht="14.25" customHeight="1">
      <c r="A65" s="159" t="s">
        <v>94</v>
      </c>
      <c r="B65" s="17" t="s">
        <v>89</v>
      </c>
      <c r="C65" s="158" t="s">
        <v>107</v>
      </c>
      <c r="D65" s="109">
        <v>-49.951645643103269</v>
      </c>
      <c r="E65" s="109">
        <v>-22.122743500000002</v>
      </c>
      <c r="F65" s="18">
        <v>2002</v>
      </c>
      <c r="G65" s="19" t="s">
        <v>90</v>
      </c>
      <c r="H65" s="18" t="s">
        <v>188</v>
      </c>
      <c r="I65" s="17" t="s">
        <v>43</v>
      </c>
      <c r="J65" s="17" t="s">
        <v>42</v>
      </c>
      <c r="K65" s="18">
        <v>300</v>
      </c>
      <c r="L65" s="24">
        <v>8</v>
      </c>
      <c r="M65" s="158" t="s">
        <v>11</v>
      </c>
      <c r="N65" s="17" t="s">
        <v>41</v>
      </c>
      <c r="O65" s="247">
        <v>100</v>
      </c>
      <c r="P65" s="220"/>
      <c r="Q65" s="7"/>
      <c r="R65" s="7"/>
    </row>
    <row r="66" spans="1:18" ht="14.25" customHeight="1">
      <c r="A66" s="159" t="s">
        <v>94</v>
      </c>
      <c r="B66" s="17" t="s">
        <v>89</v>
      </c>
      <c r="C66" s="158" t="s">
        <v>108</v>
      </c>
      <c r="D66" s="109">
        <v>-51.386765581912492</v>
      </c>
      <c r="E66" s="109">
        <v>-24.494251427999906</v>
      </c>
      <c r="F66" s="17">
        <v>2002</v>
      </c>
      <c r="G66" s="19" t="s">
        <v>90</v>
      </c>
      <c r="H66" s="17" t="s">
        <v>188</v>
      </c>
      <c r="I66" s="17" t="s">
        <v>43</v>
      </c>
      <c r="J66" s="17" t="s">
        <v>42</v>
      </c>
      <c r="K66" s="17">
        <v>180</v>
      </c>
      <c r="L66" s="28">
        <v>8</v>
      </c>
      <c r="M66" s="158" t="s">
        <v>11</v>
      </c>
      <c r="N66" s="17" t="s">
        <v>41</v>
      </c>
      <c r="O66" s="7">
        <v>100</v>
      </c>
      <c r="P66" s="220"/>
      <c r="Q66" s="7"/>
      <c r="R66" s="7"/>
    </row>
    <row r="67" spans="1:18" ht="14.25" customHeight="1" thickBot="1">
      <c r="A67" s="11" t="s">
        <v>94</v>
      </c>
      <c r="B67" s="21" t="s">
        <v>89</v>
      </c>
      <c r="C67" s="11" t="s">
        <v>110</v>
      </c>
      <c r="D67" s="110">
        <v>-46.331370849190684</v>
      </c>
      <c r="E67" s="110">
        <v>-23.933737500000003</v>
      </c>
      <c r="F67" s="21">
        <v>2002</v>
      </c>
      <c r="G67" s="22" t="s">
        <v>90</v>
      </c>
      <c r="H67" s="21" t="s">
        <v>188</v>
      </c>
      <c r="I67" s="21" t="s">
        <v>43</v>
      </c>
      <c r="J67" s="21" t="s">
        <v>42</v>
      </c>
      <c r="K67" s="21">
        <v>300</v>
      </c>
      <c r="L67" s="25">
        <v>8</v>
      </c>
      <c r="M67" s="11" t="s">
        <v>11</v>
      </c>
      <c r="N67" s="21" t="s">
        <v>41</v>
      </c>
      <c r="O67" s="95">
        <v>100</v>
      </c>
      <c r="P67" s="220"/>
      <c r="Q67" s="7"/>
      <c r="R67" s="129"/>
    </row>
    <row r="68" spans="1:18" ht="14.25" customHeight="1">
      <c r="P68" s="17"/>
    </row>
    <row r="69" spans="1:18" ht="14.25" customHeight="1">
      <c r="C69" s="2"/>
      <c r="D69" s="2"/>
      <c r="E69" s="2"/>
      <c r="P69" s="17"/>
    </row>
    <row r="70" spans="1:18" ht="14.25" customHeight="1">
      <c r="C70" s="2"/>
      <c r="D70" s="2"/>
      <c r="E70" s="2"/>
    </row>
    <row r="71" spans="1:18" ht="14.25" customHeight="1">
      <c r="C71" s="2"/>
      <c r="D71" s="2"/>
      <c r="E71" s="2"/>
    </row>
    <row r="72" spans="1:18" ht="14.25" customHeight="1">
      <c r="C72" s="2"/>
      <c r="D72" s="2"/>
      <c r="E72" s="2"/>
    </row>
    <row r="73" spans="1:18" ht="14.25" customHeight="1">
      <c r="C73" s="2"/>
      <c r="D73" s="2"/>
      <c r="E73" s="2"/>
    </row>
    <row r="74" spans="1:18" ht="14.25" customHeight="1">
      <c r="C74" s="2"/>
      <c r="D74" s="2"/>
      <c r="E74" s="2"/>
    </row>
    <row r="75" spans="1:18" ht="14.25" customHeight="1">
      <c r="C75" s="2"/>
      <c r="D75" s="2"/>
      <c r="E75" s="2"/>
    </row>
    <row r="76" spans="1:18" ht="14.25" customHeight="1">
      <c r="C76" s="2"/>
      <c r="D76" s="2"/>
      <c r="E76" s="2"/>
    </row>
    <row r="77" spans="1:18" ht="14.25" customHeight="1">
      <c r="C77" s="2"/>
      <c r="D77" s="2"/>
      <c r="E77" s="2"/>
    </row>
    <row r="78" spans="1:18" ht="14.25" customHeight="1">
      <c r="C78" s="2"/>
      <c r="D78" s="2"/>
      <c r="E78" s="2"/>
    </row>
    <row r="79" spans="1:18" ht="14.25" customHeight="1">
      <c r="C79" s="2"/>
      <c r="D79" s="2"/>
      <c r="E79" s="2"/>
    </row>
    <row r="80" spans="1:18" ht="14.25" customHeight="1">
      <c r="C80" s="2"/>
      <c r="D80" s="2"/>
      <c r="E80" s="2"/>
    </row>
    <row r="81" spans="3:5" ht="14.25" customHeight="1">
      <c r="C81" s="2"/>
      <c r="D81" s="2"/>
      <c r="E81" s="2"/>
    </row>
    <row r="82" spans="3:5" ht="14.25" customHeight="1">
      <c r="C82" s="2"/>
      <c r="D82" s="2"/>
      <c r="E82" s="2"/>
    </row>
    <row r="83" spans="3:5" ht="14.25" customHeight="1">
      <c r="C83" s="2"/>
      <c r="D83" s="2"/>
      <c r="E83" s="2"/>
    </row>
    <row r="84" spans="3:5" ht="14.25" customHeight="1">
      <c r="C84" s="2"/>
      <c r="D84" s="2"/>
      <c r="E84" s="2"/>
    </row>
    <row r="85" spans="3:5" ht="14.25" customHeight="1">
      <c r="C85" s="2"/>
      <c r="D85" s="2"/>
      <c r="E85" s="2"/>
    </row>
    <row r="86" spans="3:5" ht="14.25" customHeight="1">
      <c r="C86" s="2"/>
      <c r="D86" s="2"/>
      <c r="E86" s="2"/>
    </row>
  </sheetData>
  <conditionalFormatting sqref="C32:C33">
    <cfRule type="cellIs" dxfId="308" priority="97" stopIfTrue="1" operator="between">
      <formula>0</formula>
      <formula>79.9</formula>
    </cfRule>
    <cfRule type="cellIs" dxfId="307" priority="98" stopIfTrue="1" operator="between">
      <formula>80</formula>
      <formula>97.9</formula>
    </cfRule>
    <cfRule type="cellIs" dxfId="306" priority="99" stopIfTrue="1" operator="between">
      <formula>98</formula>
      <formula>100</formula>
    </cfRule>
  </conditionalFormatting>
  <conditionalFormatting sqref="C61">
    <cfRule type="cellIs" dxfId="305" priority="73" stopIfTrue="1" operator="between">
      <formula>0</formula>
      <formula>79.9</formula>
    </cfRule>
    <cfRule type="cellIs" dxfId="304" priority="74" stopIfTrue="1" operator="between">
      <formula>80</formula>
      <formula>97.9</formula>
    </cfRule>
    <cfRule type="cellIs" dxfId="303" priority="75" stopIfTrue="1" operator="between">
      <formula>98</formula>
      <formula>100</formula>
    </cfRule>
  </conditionalFormatting>
  <conditionalFormatting sqref="C48">
    <cfRule type="cellIs" dxfId="302" priority="88" stopIfTrue="1" operator="between">
      <formula>0</formula>
      <formula>79.9</formula>
    </cfRule>
    <cfRule type="cellIs" dxfId="301" priority="89" stopIfTrue="1" operator="between">
      <formula>80</formula>
      <formula>97.9</formula>
    </cfRule>
    <cfRule type="cellIs" dxfId="300" priority="90" stopIfTrue="1" operator="between">
      <formula>98</formula>
      <formula>100</formula>
    </cfRule>
  </conditionalFormatting>
  <conditionalFormatting sqref="D3:D4">
    <cfRule type="cellIs" dxfId="299" priority="46" stopIfTrue="1" operator="between">
      <formula>0</formula>
      <formula>79.9</formula>
    </cfRule>
    <cfRule type="cellIs" dxfId="298" priority="47" stopIfTrue="1" operator="between">
      <formula>80</formula>
      <formula>97.9</formula>
    </cfRule>
    <cfRule type="cellIs" dxfId="297" priority="48" stopIfTrue="1" operator="between">
      <formula>98</formula>
      <formula>100</formula>
    </cfRule>
  </conditionalFormatting>
  <conditionalFormatting sqref="D13">
    <cfRule type="cellIs" dxfId="296" priority="43" stopIfTrue="1" operator="between">
      <formula>0</formula>
      <formula>79.9</formula>
    </cfRule>
    <cfRule type="cellIs" dxfId="295" priority="44" stopIfTrue="1" operator="between">
      <formula>80</formula>
      <formula>97.9</formula>
    </cfRule>
    <cfRule type="cellIs" dxfId="294" priority="45" stopIfTrue="1" operator="between">
      <formula>98</formula>
      <formula>100</formula>
    </cfRule>
  </conditionalFormatting>
  <conditionalFormatting sqref="C17:D17 C16">
    <cfRule type="cellIs" dxfId="293" priority="40" stopIfTrue="1" operator="between">
      <formula>0</formula>
      <formula>79.9</formula>
    </cfRule>
    <cfRule type="cellIs" dxfId="292" priority="41" stopIfTrue="1" operator="between">
      <formula>80</formula>
      <formula>97.9</formula>
    </cfRule>
    <cfRule type="cellIs" dxfId="291" priority="42" stopIfTrue="1" operator="between">
      <formula>98</formula>
      <formula>100</formula>
    </cfRule>
  </conditionalFormatting>
  <conditionalFormatting sqref="D16">
    <cfRule type="cellIs" dxfId="290" priority="37" stopIfTrue="1" operator="between">
      <formula>0</formula>
      <formula>79.9</formula>
    </cfRule>
    <cfRule type="cellIs" dxfId="289" priority="38" stopIfTrue="1" operator="between">
      <formula>80</formula>
      <formula>97.9</formula>
    </cfRule>
    <cfRule type="cellIs" dxfId="288" priority="39" stopIfTrue="1" operator="between">
      <formula>98</formula>
      <formula>100</formula>
    </cfRule>
  </conditionalFormatting>
  <conditionalFormatting sqref="D19:D20">
    <cfRule type="cellIs" dxfId="287" priority="34" stopIfTrue="1" operator="between">
      <formula>0</formula>
      <formula>79.9</formula>
    </cfRule>
    <cfRule type="cellIs" dxfId="286" priority="35" stopIfTrue="1" operator="between">
      <formula>80</formula>
      <formula>97.9</formula>
    </cfRule>
    <cfRule type="cellIs" dxfId="285" priority="36" stopIfTrue="1" operator="between">
      <formula>98</formula>
      <formula>100</formula>
    </cfRule>
  </conditionalFormatting>
  <conditionalFormatting sqref="D29">
    <cfRule type="cellIs" dxfId="284" priority="31" stopIfTrue="1" operator="between">
      <formula>0</formula>
      <formula>79.9</formula>
    </cfRule>
    <cfRule type="cellIs" dxfId="283" priority="32" stopIfTrue="1" operator="between">
      <formula>80</formula>
      <formula>97.9</formula>
    </cfRule>
    <cfRule type="cellIs" dxfId="282" priority="33" stopIfTrue="1" operator="between">
      <formula>98</formula>
      <formula>100</formula>
    </cfRule>
  </conditionalFormatting>
  <conditionalFormatting sqref="D33">
    <cfRule type="cellIs" dxfId="281" priority="28" stopIfTrue="1" operator="between">
      <formula>0</formula>
      <formula>79.9</formula>
    </cfRule>
    <cfRule type="cellIs" dxfId="280" priority="29" stopIfTrue="1" operator="between">
      <formula>80</formula>
      <formula>97.9</formula>
    </cfRule>
    <cfRule type="cellIs" dxfId="279" priority="30" stopIfTrue="1" operator="between">
      <formula>98</formula>
      <formula>100</formula>
    </cfRule>
  </conditionalFormatting>
  <conditionalFormatting sqref="D32">
    <cfRule type="cellIs" dxfId="278" priority="25" stopIfTrue="1" operator="between">
      <formula>0</formula>
      <formula>79.9</formula>
    </cfRule>
    <cfRule type="cellIs" dxfId="277" priority="26" stopIfTrue="1" operator="between">
      <formula>80</formula>
      <formula>97.9</formula>
    </cfRule>
    <cfRule type="cellIs" dxfId="276" priority="27" stopIfTrue="1" operator="between">
      <formula>98</formula>
      <formula>100</formula>
    </cfRule>
  </conditionalFormatting>
  <conditionalFormatting sqref="D34:D35">
    <cfRule type="cellIs" dxfId="275" priority="22" stopIfTrue="1" operator="between">
      <formula>0</formula>
      <formula>79.9</formula>
    </cfRule>
    <cfRule type="cellIs" dxfId="274" priority="23" stopIfTrue="1" operator="between">
      <formula>80</formula>
      <formula>97.9</formula>
    </cfRule>
    <cfRule type="cellIs" dxfId="273" priority="24" stopIfTrue="1" operator="between">
      <formula>98</formula>
      <formula>100</formula>
    </cfRule>
  </conditionalFormatting>
  <conditionalFormatting sqref="D44">
    <cfRule type="cellIs" dxfId="272" priority="19" stopIfTrue="1" operator="between">
      <formula>0</formula>
      <formula>79.9</formula>
    </cfRule>
    <cfRule type="cellIs" dxfId="271" priority="20" stopIfTrue="1" operator="between">
      <formula>80</formula>
      <formula>97.9</formula>
    </cfRule>
    <cfRule type="cellIs" dxfId="270" priority="21" stopIfTrue="1" operator="between">
      <formula>98</formula>
      <formula>100</formula>
    </cfRule>
  </conditionalFormatting>
  <conditionalFormatting sqref="D48">
    <cfRule type="cellIs" dxfId="269" priority="16" stopIfTrue="1" operator="between">
      <formula>0</formula>
      <formula>79.9</formula>
    </cfRule>
    <cfRule type="cellIs" dxfId="268" priority="17" stopIfTrue="1" operator="between">
      <formula>80</formula>
      <formula>97.9</formula>
    </cfRule>
    <cfRule type="cellIs" dxfId="267" priority="18" stopIfTrue="1" operator="between">
      <formula>98</formula>
      <formula>100</formula>
    </cfRule>
  </conditionalFormatting>
  <conditionalFormatting sqref="D47">
    <cfRule type="cellIs" dxfId="266" priority="13" stopIfTrue="1" operator="between">
      <formula>0</formula>
      <formula>79.9</formula>
    </cfRule>
    <cfRule type="cellIs" dxfId="265" priority="14" stopIfTrue="1" operator="between">
      <formula>80</formula>
      <formula>97.9</formula>
    </cfRule>
    <cfRule type="cellIs" dxfId="264" priority="15" stopIfTrue="1" operator="between">
      <formula>98</formula>
      <formula>100</formula>
    </cfRule>
  </conditionalFormatting>
  <conditionalFormatting sqref="D49:D50">
    <cfRule type="cellIs" dxfId="263" priority="10" stopIfTrue="1" operator="between">
      <formula>0</formula>
      <formula>79.9</formula>
    </cfRule>
    <cfRule type="cellIs" dxfId="262" priority="11" stopIfTrue="1" operator="between">
      <formula>80</formula>
      <formula>97.9</formula>
    </cfRule>
    <cfRule type="cellIs" dxfId="261" priority="12" stopIfTrue="1" operator="between">
      <formula>98</formula>
      <formula>100</formula>
    </cfRule>
  </conditionalFormatting>
  <conditionalFormatting sqref="D61">
    <cfRule type="cellIs" dxfId="260" priority="7" stopIfTrue="1" operator="between">
      <formula>0</formula>
      <formula>79.9</formula>
    </cfRule>
    <cfRule type="cellIs" dxfId="259" priority="8" stopIfTrue="1" operator="between">
      <formula>80</formula>
      <formula>97.9</formula>
    </cfRule>
    <cfRule type="cellIs" dxfId="258" priority="9" stopIfTrue="1" operator="between">
      <formula>98</formula>
      <formula>100</formula>
    </cfRule>
  </conditionalFormatting>
  <conditionalFormatting sqref="D60">
    <cfRule type="cellIs" dxfId="257" priority="4" stopIfTrue="1" operator="between">
      <formula>0</formula>
      <formula>79.9</formula>
    </cfRule>
    <cfRule type="cellIs" dxfId="256" priority="5" stopIfTrue="1" operator="between">
      <formula>80</formula>
      <formula>97.9</formula>
    </cfRule>
    <cfRule type="cellIs" dxfId="255" priority="6" stopIfTrue="1" operator="between">
      <formula>98</formula>
      <formula>100</formula>
    </cfRule>
  </conditionalFormatting>
  <conditionalFormatting sqref="D62:D63">
    <cfRule type="cellIs" dxfId="254" priority="1" stopIfTrue="1" operator="between">
      <formula>0</formula>
      <formula>79.9</formula>
    </cfRule>
    <cfRule type="cellIs" dxfId="253" priority="2" stopIfTrue="1" operator="between">
      <formula>80</formula>
      <formula>97.9</formula>
    </cfRule>
    <cfRule type="cellIs" dxfId="252" priority="3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S170"/>
  <sheetViews>
    <sheetView workbookViewId="0">
      <selection activeCell="A2" sqref="A2:A17"/>
    </sheetView>
  </sheetViews>
  <sheetFormatPr baseColWidth="10" defaultColWidth="8.83203125" defaultRowHeight="14.25" customHeight="1"/>
  <cols>
    <col min="1" max="1" width="17.83203125" style="18" bestFit="1" customWidth="1"/>
    <col min="2" max="2" width="7" style="18" bestFit="1" customWidth="1"/>
    <col min="3" max="3" width="23.5" style="18" customWidth="1"/>
    <col min="4" max="4" width="13.1640625" style="18" bestFit="1" customWidth="1"/>
    <col min="5" max="5" width="14.6640625" style="18" customWidth="1"/>
    <col min="6" max="7" width="12.6640625" style="18" customWidth="1"/>
    <col min="8" max="8" width="15.5" style="18" bestFit="1" customWidth="1"/>
    <col min="9" max="9" width="17.5" style="18" bestFit="1" customWidth="1"/>
    <col min="10" max="10" width="12.33203125" style="18" bestFit="1" customWidth="1"/>
    <col min="11" max="11" width="13.5" style="18" bestFit="1" customWidth="1"/>
    <col min="12" max="12" width="12" style="18" customWidth="1"/>
    <col min="13" max="13" width="9.33203125" style="18" bestFit="1" customWidth="1"/>
    <col min="14" max="14" width="7.6640625" style="18" bestFit="1" customWidth="1"/>
    <col min="15" max="15" width="14.1640625" style="18" customWidth="1"/>
    <col min="16" max="16" width="14.5" style="18" customWidth="1"/>
    <col min="17" max="19" width="7.33203125" style="18" bestFit="1" customWidth="1"/>
    <col min="20" max="16384" width="8.83203125" style="18"/>
  </cols>
  <sheetData>
    <row r="1" spans="1:19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9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2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19" ht="14.25" customHeight="1">
      <c r="A2" s="159" t="s">
        <v>94</v>
      </c>
      <c r="B2" s="17" t="s">
        <v>89</v>
      </c>
      <c r="C2" s="20" t="s">
        <v>124</v>
      </c>
      <c r="D2" s="261"/>
      <c r="E2" s="262"/>
      <c r="F2" s="18">
        <v>2003</v>
      </c>
      <c r="G2" s="19" t="s">
        <v>90</v>
      </c>
      <c r="H2" s="18" t="s">
        <v>177</v>
      </c>
      <c r="I2" s="17" t="s">
        <v>91</v>
      </c>
      <c r="J2" s="18" t="s">
        <v>81</v>
      </c>
      <c r="K2" s="18">
        <v>1200</v>
      </c>
      <c r="L2" s="18">
        <v>1.2E-2</v>
      </c>
      <c r="M2" s="18" t="s">
        <v>80</v>
      </c>
      <c r="N2" s="18" t="s">
        <v>88</v>
      </c>
      <c r="O2" s="158">
        <v>100</v>
      </c>
      <c r="P2" s="42">
        <v>1.0000000000000026E-4</v>
      </c>
      <c r="Q2" s="3">
        <v>3.8999999999999998E-3</v>
      </c>
      <c r="R2" s="3">
        <v>4.8999999999999998E-3</v>
      </c>
      <c r="S2" s="23">
        <v>5.4000000000000003E-3</v>
      </c>
    </row>
    <row r="3" spans="1:19" ht="14.25" customHeight="1">
      <c r="A3" s="159" t="s">
        <v>94</v>
      </c>
      <c r="B3" s="17" t="s">
        <v>89</v>
      </c>
      <c r="C3" s="158" t="s">
        <v>100</v>
      </c>
      <c r="D3" s="109">
        <v>-50.439226072752582</v>
      </c>
      <c r="E3" s="109">
        <v>-21.205476000000004</v>
      </c>
      <c r="F3" s="18">
        <v>2003</v>
      </c>
      <c r="G3" s="19" t="s">
        <v>90</v>
      </c>
      <c r="H3" s="18" t="s">
        <v>177</v>
      </c>
      <c r="I3" s="17" t="s">
        <v>91</v>
      </c>
      <c r="J3" s="18" t="s">
        <v>81</v>
      </c>
      <c r="K3" s="18">
        <v>1800</v>
      </c>
      <c r="L3" s="18">
        <v>1.2E-2</v>
      </c>
      <c r="M3" s="18" t="s">
        <v>80</v>
      </c>
      <c r="N3" s="18" t="s">
        <v>88</v>
      </c>
      <c r="O3" s="74">
        <v>95.3</v>
      </c>
      <c r="P3" s="42">
        <v>7.0000000000000097E-4</v>
      </c>
      <c r="Q3" s="23">
        <v>7.4000000000000003E-3</v>
      </c>
      <c r="R3" s="23">
        <v>1.2500000000000001E-2</v>
      </c>
      <c r="S3" s="23">
        <v>1.55E-2</v>
      </c>
    </row>
    <row r="4" spans="1:19" ht="14.25" customHeight="1">
      <c r="A4" s="159" t="s">
        <v>94</v>
      </c>
      <c r="B4" s="17" t="s">
        <v>89</v>
      </c>
      <c r="C4" s="158" t="s">
        <v>101</v>
      </c>
      <c r="D4" s="109">
        <v>-48.567377839455055</v>
      </c>
      <c r="E4" s="109">
        <v>-20.558455515000002</v>
      </c>
      <c r="F4" s="18">
        <v>2003</v>
      </c>
      <c r="G4" s="19" t="s">
        <v>90</v>
      </c>
      <c r="H4" s="18" t="s">
        <v>177</v>
      </c>
      <c r="I4" s="17" t="s">
        <v>91</v>
      </c>
      <c r="J4" s="18" t="s">
        <v>81</v>
      </c>
      <c r="K4" s="18">
        <v>1200</v>
      </c>
      <c r="L4" s="18">
        <v>1.2E-2</v>
      </c>
      <c r="M4" s="18" t="s">
        <v>80</v>
      </c>
      <c r="N4" s="18" t="s">
        <v>88</v>
      </c>
      <c r="O4" s="74">
        <v>89</v>
      </c>
      <c r="P4" s="42">
        <v>5.0000000000000044E-4</v>
      </c>
      <c r="Q4" s="23">
        <v>8.6E-3</v>
      </c>
      <c r="R4" s="23">
        <v>1.6500000000000001E-2</v>
      </c>
      <c r="S4" s="23">
        <v>2.1600000000000001E-2</v>
      </c>
    </row>
    <row r="5" spans="1:19" ht="14.25" customHeight="1">
      <c r="A5" s="159" t="s">
        <v>94</v>
      </c>
      <c r="B5" s="17" t="s">
        <v>89</v>
      </c>
      <c r="C5" s="158" t="s">
        <v>102</v>
      </c>
      <c r="D5" s="109">
        <v>-49.083000867090362</v>
      </c>
      <c r="E5" s="109">
        <v>-22.325122500000006</v>
      </c>
      <c r="F5" s="18">
        <v>2003</v>
      </c>
      <c r="G5" s="19" t="s">
        <v>90</v>
      </c>
      <c r="H5" s="18" t="s">
        <v>177</v>
      </c>
      <c r="I5" s="17" t="s">
        <v>91</v>
      </c>
      <c r="J5" s="18" t="s">
        <v>81</v>
      </c>
      <c r="K5" s="18">
        <v>1500</v>
      </c>
      <c r="L5" s="18">
        <v>1.2E-2</v>
      </c>
      <c r="M5" s="18" t="s">
        <v>80</v>
      </c>
      <c r="N5" s="18" t="s">
        <v>88</v>
      </c>
      <c r="O5" s="74">
        <v>95.8</v>
      </c>
      <c r="P5" s="42">
        <v>6.0000000000000157E-4</v>
      </c>
      <c r="Q5" s="23">
        <v>5.3E-3</v>
      </c>
      <c r="R5" s="23">
        <v>9.9000000000000008E-3</v>
      </c>
      <c r="S5" s="23">
        <v>1.2800000000000001E-2</v>
      </c>
    </row>
    <row r="6" spans="1:19" ht="14.25" customHeight="1">
      <c r="A6" s="159" t="s">
        <v>94</v>
      </c>
      <c r="B6" s="17" t="s">
        <v>89</v>
      </c>
      <c r="C6" s="158" t="s">
        <v>104</v>
      </c>
      <c r="D6" s="109">
        <v>-47.06015627297316</v>
      </c>
      <c r="E6" s="109">
        <v>-22.907342500000002</v>
      </c>
      <c r="F6" s="18">
        <v>2003</v>
      </c>
      <c r="G6" s="19" t="s">
        <v>90</v>
      </c>
      <c r="H6" s="18" t="s">
        <v>177</v>
      </c>
      <c r="I6" s="17" t="s">
        <v>91</v>
      </c>
      <c r="J6" s="18" t="s">
        <v>81</v>
      </c>
      <c r="K6" s="18">
        <v>1500</v>
      </c>
      <c r="L6" s="18">
        <v>1.2E-2</v>
      </c>
      <c r="M6" s="18" t="s">
        <v>80</v>
      </c>
      <c r="N6" s="18" t="s">
        <v>88</v>
      </c>
      <c r="O6" s="74">
        <v>90.9</v>
      </c>
      <c r="P6" s="42">
        <v>6.9999999999999923E-4</v>
      </c>
      <c r="Q6" s="23">
        <v>8.2000000000000007E-3</v>
      </c>
      <c r="R6" s="23">
        <v>1.35E-2</v>
      </c>
      <c r="S6" s="23">
        <v>1.66E-2</v>
      </c>
    </row>
    <row r="7" spans="1:19" ht="14.25" customHeight="1">
      <c r="A7" s="159" t="s">
        <v>94</v>
      </c>
      <c r="B7" s="17" t="s">
        <v>89</v>
      </c>
      <c r="C7" s="158" t="s">
        <v>105</v>
      </c>
      <c r="D7" s="109">
        <v>-46.570383182112749</v>
      </c>
      <c r="E7" s="109">
        <v>-23.567386500000001</v>
      </c>
      <c r="F7" s="18">
        <v>2003</v>
      </c>
      <c r="G7" s="19" t="s">
        <v>90</v>
      </c>
      <c r="H7" s="18" t="s">
        <v>177</v>
      </c>
      <c r="I7" s="17" t="s">
        <v>91</v>
      </c>
      <c r="J7" s="18" t="s">
        <v>81</v>
      </c>
      <c r="K7" s="18">
        <v>1200</v>
      </c>
      <c r="L7" s="18">
        <v>1.2E-2</v>
      </c>
      <c r="M7" s="18" t="s">
        <v>80</v>
      </c>
      <c r="N7" s="18" t="s">
        <v>88</v>
      </c>
      <c r="O7" s="74">
        <v>60.4</v>
      </c>
      <c r="P7" s="42">
        <v>1.0000000000000009E-3</v>
      </c>
      <c r="Q7" s="23">
        <v>1.2999999999999999E-2</v>
      </c>
      <c r="R7" s="23">
        <v>2.7E-2</v>
      </c>
      <c r="S7" s="23">
        <v>3.6999999999999998E-2</v>
      </c>
    </row>
    <row r="8" spans="1:19" ht="14.25" customHeight="1">
      <c r="A8" s="159" t="s">
        <v>94</v>
      </c>
      <c r="B8" s="17" t="s">
        <v>89</v>
      </c>
      <c r="C8" s="158" t="s">
        <v>125</v>
      </c>
      <c r="D8" s="109">
        <v>-47.299749835960981</v>
      </c>
      <c r="E8" s="109">
        <v>-23.265442500000002</v>
      </c>
      <c r="F8" s="18">
        <v>2003</v>
      </c>
      <c r="G8" s="19" t="s">
        <v>90</v>
      </c>
      <c r="H8" s="18" t="s">
        <v>177</v>
      </c>
      <c r="I8" s="17" t="s">
        <v>91</v>
      </c>
      <c r="J8" s="18" t="s">
        <v>81</v>
      </c>
      <c r="K8" s="18">
        <v>1500</v>
      </c>
      <c r="L8" s="18">
        <v>1.2E-2</v>
      </c>
      <c r="M8" s="18" t="s">
        <v>80</v>
      </c>
      <c r="N8" s="18" t="s">
        <v>88</v>
      </c>
      <c r="O8" s="74">
        <v>83.1</v>
      </c>
      <c r="P8" s="42">
        <v>1.0000000000000009E-3</v>
      </c>
      <c r="Q8" s="23">
        <v>8.3999999999999995E-3</v>
      </c>
      <c r="R8" s="23">
        <v>1.6E-2</v>
      </c>
      <c r="S8" s="23">
        <v>0.02</v>
      </c>
    </row>
    <row r="9" spans="1:19" ht="14.25" customHeight="1">
      <c r="A9" s="159" t="s">
        <v>94</v>
      </c>
      <c r="B9" s="17" t="s">
        <v>89</v>
      </c>
      <c r="C9" s="158" t="s">
        <v>107</v>
      </c>
      <c r="D9" s="109">
        <v>-49.951645643103269</v>
      </c>
      <c r="E9" s="109">
        <v>-22.122743500000002</v>
      </c>
      <c r="F9" s="18">
        <v>2003</v>
      </c>
      <c r="G9" s="19" t="s">
        <v>90</v>
      </c>
      <c r="H9" s="18" t="s">
        <v>177</v>
      </c>
      <c r="I9" s="17" t="s">
        <v>91</v>
      </c>
      <c r="J9" s="18" t="s">
        <v>81</v>
      </c>
      <c r="K9" s="18">
        <v>1500</v>
      </c>
      <c r="L9" s="18">
        <v>1.2E-2</v>
      </c>
      <c r="M9" s="18" t="s">
        <v>80</v>
      </c>
      <c r="N9" s="18" t="s">
        <v>88</v>
      </c>
      <c r="O9" s="74">
        <v>98</v>
      </c>
      <c r="P9" s="42">
        <v>3.9999999999999931E-4</v>
      </c>
      <c r="Q9" s="23">
        <v>5.4999999999999997E-3</v>
      </c>
      <c r="R9" s="23">
        <v>8.6E-3</v>
      </c>
      <c r="S9" s="23">
        <v>1.04E-2</v>
      </c>
    </row>
    <row r="10" spans="1:19" ht="14.25" customHeight="1">
      <c r="A10" s="159" t="s">
        <v>94</v>
      </c>
      <c r="B10" s="17" t="s">
        <v>89</v>
      </c>
      <c r="C10" s="158" t="s">
        <v>95</v>
      </c>
      <c r="D10" s="109">
        <v>-46.570383182112749</v>
      </c>
      <c r="E10" s="109">
        <v>-23.567386500000001</v>
      </c>
      <c r="F10" s="18">
        <v>2003</v>
      </c>
      <c r="G10" s="19" t="s">
        <v>90</v>
      </c>
      <c r="H10" s="18" t="s">
        <v>177</v>
      </c>
      <c r="I10" s="17" t="s">
        <v>91</v>
      </c>
      <c r="J10" s="18" t="s">
        <v>81</v>
      </c>
      <c r="K10" s="18">
        <v>1500</v>
      </c>
      <c r="L10" s="18">
        <v>1.2E-2</v>
      </c>
      <c r="M10" s="18" t="s">
        <v>80</v>
      </c>
      <c r="N10" s="18" t="s">
        <v>88</v>
      </c>
      <c r="O10" s="74">
        <v>83.6</v>
      </c>
      <c r="P10" s="42">
        <v>9.9999999999999915E-4</v>
      </c>
      <c r="Q10" s="23">
        <v>9.4000000000000004E-3</v>
      </c>
      <c r="R10" s="23">
        <v>1.4999999999999999E-2</v>
      </c>
      <c r="S10" s="23">
        <v>1.7999999999999999E-2</v>
      </c>
    </row>
    <row r="11" spans="1:19" ht="14.25" customHeight="1">
      <c r="A11" s="159" t="s">
        <v>94</v>
      </c>
      <c r="B11" s="17" t="s">
        <v>89</v>
      </c>
      <c r="C11" s="158" t="s">
        <v>108</v>
      </c>
      <c r="D11" s="109">
        <v>-51.386765581912492</v>
      </c>
      <c r="E11" s="109">
        <v>-24.494251427999906</v>
      </c>
      <c r="F11" s="18">
        <v>2003</v>
      </c>
      <c r="G11" s="19" t="s">
        <v>90</v>
      </c>
      <c r="H11" s="18" t="s">
        <v>177</v>
      </c>
      <c r="I11" s="17" t="s">
        <v>91</v>
      </c>
      <c r="J11" s="18" t="s">
        <v>81</v>
      </c>
      <c r="K11" s="18">
        <v>1500</v>
      </c>
      <c r="L11" s="18">
        <v>1.2E-2</v>
      </c>
      <c r="M11" s="18" t="s">
        <v>80</v>
      </c>
      <c r="N11" s="18" t="s">
        <v>88</v>
      </c>
      <c r="O11" s="74">
        <v>98.5</v>
      </c>
      <c r="P11" s="42">
        <v>5.9999999999999984E-4</v>
      </c>
      <c r="Q11" s="23">
        <v>6.1999999999999998E-3</v>
      </c>
      <c r="R11" s="23">
        <v>1.04E-2</v>
      </c>
      <c r="S11" s="23">
        <v>1.2800000000000001E-2</v>
      </c>
    </row>
    <row r="12" spans="1:19" ht="14.25" customHeight="1">
      <c r="A12" s="159" t="s">
        <v>94</v>
      </c>
      <c r="B12" s="17" t="s">
        <v>89</v>
      </c>
      <c r="C12" s="158" t="s">
        <v>109</v>
      </c>
      <c r="D12" s="109">
        <v>-47.805475915541528</v>
      </c>
      <c r="E12" s="109">
        <v>-21.184834500000004</v>
      </c>
      <c r="F12" s="18">
        <v>2003</v>
      </c>
      <c r="G12" s="19" t="s">
        <v>90</v>
      </c>
      <c r="H12" s="18" t="s">
        <v>177</v>
      </c>
      <c r="I12" s="17" t="s">
        <v>91</v>
      </c>
      <c r="J12" s="18" t="s">
        <v>81</v>
      </c>
      <c r="K12" s="18">
        <v>1500</v>
      </c>
      <c r="L12" s="18">
        <v>1.2E-2</v>
      </c>
      <c r="M12" s="18" t="s">
        <v>80</v>
      </c>
      <c r="N12" s="18" t="s">
        <v>88</v>
      </c>
      <c r="O12" s="74">
        <v>96.3</v>
      </c>
      <c r="P12" s="42">
        <v>1.4999999999999979E-3</v>
      </c>
      <c r="Q12" s="23">
        <v>1.03E-2</v>
      </c>
      <c r="R12" s="23">
        <v>1.8499999999999999E-2</v>
      </c>
      <c r="S12" s="23">
        <v>2.35E-2</v>
      </c>
    </row>
    <row r="13" spans="1:19" ht="14.25" customHeight="1">
      <c r="A13" s="159" t="s">
        <v>94</v>
      </c>
      <c r="B13" s="17" t="s">
        <v>89</v>
      </c>
      <c r="C13" s="158" t="s">
        <v>127</v>
      </c>
      <c r="D13" s="109">
        <v>-46.922092505649722</v>
      </c>
      <c r="E13" s="109">
        <v>-23.933737500000003</v>
      </c>
      <c r="F13" s="18">
        <v>2003</v>
      </c>
      <c r="G13" s="19" t="s">
        <v>90</v>
      </c>
      <c r="H13" s="18" t="s">
        <v>177</v>
      </c>
      <c r="I13" s="17" t="s">
        <v>91</v>
      </c>
      <c r="J13" s="18" t="s">
        <v>81</v>
      </c>
      <c r="K13" s="18">
        <v>1200</v>
      </c>
      <c r="L13" s="18">
        <v>1.2E-2</v>
      </c>
      <c r="M13" s="18" t="s">
        <v>80</v>
      </c>
      <c r="N13" s="18" t="s">
        <v>88</v>
      </c>
      <c r="O13" s="74">
        <v>99.8</v>
      </c>
      <c r="P13" s="42">
        <v>5.0000000000000044E-4</v>
      </c>
      <c r="Q13" s="23">
        <v>6.4999999999999997E-3</v>
      </c>
      <c r="R13" s="23">
        <v>9.9000000000000008E-3</v>
      </c>
      <c r="S13" s="23">
        <v>1.2E-2</v>
      </c>
    </row>
    <row r="14" spans="1:19" ht="14.25" customHeight="1">
      <c r="A14" s="159" t="s">
        <v>94</v>
      </c>
      <c r="B14" s="17" t="s">
        <v>89</v>
      </c>
      <c r="C14" s="158" t="s">
        <v>110</v>
      </c>
      <c r="D14" s="109">
        <v>-46.331370849190684</v>
      </c>
      <c r="E14" s="109">
        <v>-23.933737500000003</v>
      </c>
      <c r="F14" s="18">
        <v>2003</v>
      </c>
      <c r="G14" s="19" t="s">
        <v>90</v>
      </c>
      <c r="H14" s="18" t="s">
        <v>177</v>
      </c>
      <c r="I14" s="17" t="s">
        <v>91</v>
      </c>
      <c r="J14" s="18" t="s">
        <v>81</v>
      </c>
      <c r="K14" s="18">
        <v>1200</v>
      </c>
      <c r="L14" s="18">
        <v>1.2E-2</v>
      </c>
      <c r="M14" s="18" t="s">
        <v>80</v>
      </c>
      <c r="N14" s="18" t="s">
        <v>88</v>
      </c>
      <c r="O14" s="74">
        <v>71.2</v>
      </c>
      <c r="P14" s="42">
        <v>1.1999999999999997E-3</v>
      </c>
      <c r="Q14" s="23">
        <v>1.5800000000000002E-2</v>
      </c>
      <c r="R14" s="23">
        <v>2.3E-2</v>
      </c>
      <c r="S14" s="23">
        <v>2.5999999999999999E-2</v>
      </c>
    </row>
    <row r="15" spans="1:19" ht="14.25" customHeight="1">
      <c r="A15" s="159" t="s">
        <v>94</v>
      </c>
      <c r="B15" s="17" t="s">
        <v>89</v>
      </c>
      <c r="C15" s="158" t="s">
        <v>112</v>
      </c>
      <c r="D15" s="109">
        <v>-49.381347685025794</v>
      </c>
      <c r="E15" s="109">
        <v>-20.812636500000004</v>
      </c>
      <c r="F15" s="18">
        <v>2003</v>
      </c>
      <c r="G15" s="19" t="s">
        <v>90</v>
      </c>
      <c r="H15" s="18" t="s">
        <v>177</v>
      </c>
      <c r="I15" s="17" t="s">
        <v>91</v>
      </c>
      <c r="J15" s="18" t="s">
        <v>81</v>
      </c>
      <c r="K15" s="18">
        <v>1800</v>
      </c>
      <c r="L15" s="18">
        <v>1.2E-2</v>
      </c>
      <c r="M15" s="18" t="s">
        <v>80</v>
      </c>
      <c r="N15" s="18" t="s">
        <v>88</v>
      </c>
      <c r="O15" s="74">
        <v>84.9</v>
      </c>
      <c r="P15" s="42">
        <v>2.1000000000000012E-3</v>
      </c>
      <c r="Q15" s="23">
        <v>1.11E-2</v>
      </c>
      <c r="R15" s="23">
        <v>2.5100000000000001E-2</v>
      </c>
      <c r="S15" s="23">
        <v>3.5200000000000002E-2</v>
      </c>
    </row>
    <row r="16" spans="1:19" ht="14.25" customHeight="1">
      <c r="A16" s="159" t="s">
        <v>94</v>
      </c>
      <c r="B16" s="17" t="s">
        <v>89</v>
      </c>
      <c r="C16" s="158" t="s">
        <v>113</v>
      </c>
      <c r="D16" s="109">
        <v>-45.402680140543957</v>
      </c>
      <c r="E16" s="109">
        <v>-23.806687652148753</v>
      </c>
      <c r="F16" s="18">
        <v>2003</v>
      </c>
      <c r="G16" s="19" t="s">
        <v>90</v>
      </c>
      <c r="H16" s="18" t="s">
        <v>177</v>
      </c>
      <c r="I16" s="17" t="s">
        <v>91</v>
      </c>
      <c r="J16" s="18" t="s">
        <v>81</v>
      </c>
      <c r="K16" s="18">
        <v>1200</v>
      </c>
      <c r="L16" s="18">
        <v>1.2E-2</v>
      </c>
      <c r="M16" s="18" t="s">
        <v>80</v>
      </c>
      <c r="N16" s="18" t="s">
        <v>88</v>
      </c>
      <c r="O16" s="74">
        <v>51.2</v>
      </c>
      <c r="P16" s="42">
        <v>1.0000000000000009E-3</v>
      </c>
      <c r="Q16" s="23">
        <v>1.4E-2</v>
      </c>
      <c r="R16" s="23">
        <v>0.02</v>
      </c>
      <c r="S16" s="23">
        <v>2.3E-2</v>
      </c>
    </row>
    <row r="17" spans="1:19" ht="14.25" customHeight="1">
      <c r="A17" s="159" t="s">
        <v>94</v>
      </c>
      <c r="B17" s="17" t="s">
        <v>89</v>
      </c>
      <c r="C17" s="158" t="s">
        <v>114</v>
      </c>
      <c r="D17" s="109">
        <v>-47.457853253204043</v>
      </c>
      <c r="E17" s="109">
        <v>-23.499323</v>
      </c>
      <c r="F17" s="18">
        <v>2003</v>
      </c>
      <c r="G17" s="19" t="s">
        <v>90</v>
      </c>
      <c r="H17" s="18" t="s">
        <v>177</v>
      </c>
      <c r="I17" s="17" t="s">
        <v>91</v>
      </c>
      <c r="J17" s="18" t="s">
        <v>81</v>
      </c>
      <c r="K17" s="18">
        <v>1800</v>
      </c>
      <c r="L17" s="18">
        <v>1.2E-2</v>
      </c>
      <c r="M17" s="18" t="s">
        <v>80</v>
      </c>
      <c r="N17" s="18" t="s">
        <v>88</v>
      </c>
      <c r="O17" s="74">
        <v>86.9</v>
      </c>
      <c r="P17" s="42">
        <v>0</v>
      </c>
      <c r="Q17" s="23">
        <v>7.9000000000000008E-3</v>
      </c>
      <c r="R17" s="23">
        <v>1.6E-2</v>
      </c>
      <c r="S17" s="23">
        <v>2.1999999999999999E-2</v>
      </c>
    </row>
    <row r="18" spans="1:19" ht="14.25" customHeight="1">
      <c r="A18" s="159" t="s">
        <v>94</v>
      </c>
      <c r="B18" s="17" t="s">
        <v>89</v>
      </c>
      <c r="C18" s="17" t="s">
        <v>115</v>
      </c>
      <c r="D18" s="109">
        <v>-60.670532672965052</v>
      </c>
      <c r="E18" s="109">
        <v>2.8166819191043904</v>
      </c>
      <c r="F18" s="18">
        <v>2003</v>
      </c>
      <c r="G18" s="19" t="s">
        <v>90</v>
      </c>
      <c r="H18" s="18" t="s">
        <v>177</v>
      </c>
      <c r="I18" s="17" t="s">
        <v>91</v>
      </c>
      <c r="J18" s="18" t="s">
        <v>81</v>
      </c>
      <c r="K18" s="18">
        <v>1800</v>
      </c>
      <c r="L18" s="18">
        <v>1.2E-2</v>
      </c>
      <c r="M18" s="18" t="s">
        <v>80</v>
      </c>
      <c r="N18" s="18" t="s">
        <v>88</v>
      </c>
      <c r="O18" s="74">
        <v>84.7</v>
      </c>
      <c r="P18" s="42">
        <v>1.0000000000000009E-3</v>
      </c>
      <c r="Q18" s="23">
        <v>1.04E-2</v>
      </c>
      <c r="R18" s="23">
        <v>1.6E-2</v>
      </c>
      <c r="S18" s="23">
        <v>1.9E-2</v>
      </c>
    </row>
    <row r="19" spans="1:19" ht="14.25" customHeight="1">
      <c r="A19" s="159" t="s">
        <v>94</v>
      </c>
      <c r="B19" s="17" t="s">
        <v>89</v>
      </c>
      <c r="C19" s="18" t="s">
        <v>31</v>
      </c>
      <c r="D19" s="109">
        <v>-35.038488971813102</v>
      </c>
      <c r="E19" s="109">
        <v>-8.2898642302978818</v>
      </c>
      <c r="F19" s="18">
        <v>2003</v>
      </c>
      <c r="G19" s="19" t="s">
        <v>90</v>
      </c>
      <c r="H19" s="18" t="s">
        <v>177</v>
      </c>
      <c r="I19" s="17" t="s">
        <v>91</v>
      </c>
      <c r="J19" s="18" t="s">
        <v>81</v>
      </c>
      <c r="K19" s="18">
        <v>2100</v>
      </c>
      <c r="L19" s="18">
        <v>1.2E-2</v>
      </c>
      <c r="M19" s="18" t="s">
        <v>80</v>
      </c>
      <c r="N19" s="18" t="s">
        <v>88</v>
      </c>
      <c r="O19" s="74">
        <v>78.3</v>
      </c>
      <c r="P19" s="42">
        <v>7.9999999999999863E-4</v>
      </c>
      <c r="Q19" s="23">
        <v>9.7999999999999997E-3</v>
      </c>
      <c r="R19" s="23">
        <v>1.6899999999999998E-2</v>
      </c>
      <c r="S19" s="23">
        <v>2.1100000000000001E-2</v>
      </c>
    </row>
    <row r="20" spans="1:19" ht="14.25" customHeight="1">
      <c r="A20" s="159" t="s">
        <v>94</v>
      </c>
      <c r="B20" s="17" t="s">
        <v>89</v>
      </c>
      <c r="C20" s="158" t="s">
        <v>116</v>
      </c>
      <c r="D20" s="109">
        <v>-38.589927555043182</v>
      </c>
      <c r="E20" s="109">
        <v>-3.7238050350000007</v>
      </c>
      <c r="F20" s="18">
        <v>2003</v>
      </c>
      <c r="G20" s="19" t="s">
        <v>90</v>
      </c>
      <c r="H20" s="18" t="s">
        <v>177</v>
      </c>
      <c r="I20" s="17" t="s">
        <v>91</v>
      </c>
      <c r="J20" s="18" t="s">
        <v>81</v>
      </c>
      <c r="K20" s="18">
        <v>1200</v>
      </c>
      <c r="L20" s="18">
        <v>1.2E-2</v>
      </c>
      <c r="M20" s="18" t="s">
        <v>80</v>
      </c>
      <c r="N20" s="18" t="s">
        <v>88</v>
      </c>
      <c r="O20" s="74">
        <v>5.0999999999999996</v>
      </c>
      <c r="P20" s="42">
        <v>1.5999999999999973E-3</v>
      </c>
      <c r="Q20" s="23">
        <v>2.98E-2</v>
      </c>
      <c r="R20" s="23">
        <v>4.1399999999999999E-2</v>
      </c>
      <c r="S20" s="23">
        <v>4.7399999999999998E-2</v>
      </c>
    </row>
    <row r="21" spans="1:19" ht="14.25" customHeight="1">
      <c r="A21" s="159" t="s">
        <v>94</v>
      </c>
      <c r="B21" s="17" t="s">
        <v>89</v>
      </c>
      <c r="C21" s="158" t="s">
        <v>146</v>
      </c>
      <c r="D21" s="109">
        <v>-54.58710248860465</v>
      </c>
      <c r="E21" s="109">
        <v>-25.542493279529253</v>
      </c>
      <c r="F21" s="18">
        <v>2003</v>
      </c>
      <c r="G21" s="19" t="s">
        <v>90</v>
      </c>
      <c r="H21" s="18" t="s">
        <v>177</v>
      </c>
      <c r="I21" s="17" t="s">
        <v>91</v>
      </c>
      <c r="J21" s="18" t="s">
        <v>81</v>
      </c>
      <c r="K21" s="18">
        <v>1800</v>
      </c>
      <c r="L21" s="18">
        <v>1.2E-2</v>
      </c>
      <c r="M21" s="18" t="s">
        <v>80</v>
      </c>
      <c r="N21" s="18" t="s">
        <v>88</v>
      </c>
      <c r="O21" s="74">
        <v>98.3</v>
      </c>
      <c r="P21" s="42">
        <v>8.9999999999999976E-4</v>
      </c>
      <c r="Q21" s="23">
        <v>6.1000000000000004E-3</v>
      </c>
      <c r="R21" s="23">
        <v>1.06E-2</v>
      </c>
      <c r="S21" s="23">
        <v>1.3299999999999999E-2</v>
      </c>
    </row>
    <row r="22" spans="1:19" ht="14.25" customHeight="1">
      <c r="A22" s="159" t="s">
        <v>94</v>
      </c>
      <c r="B22" s="17" t="s">
        <v>89</v>
      </c>
      <c r="C22" s="18" t="s">
        <v>30</v>
      </c>
      <c r="D22" s="109">
        <v>-34.921173467260282</v>
      </c>
      <c r="E22" s="109">
        <v>-8.1653914673574501</v>
      </c>
      <c r="F22" s="18">
        <v>2003</v>
      </c>
      <c r="G22" s="19" t="s">
        <v>90</v>
      </c>
      <c r="H22" s="18" t="s">
        <v>177</v>
      </c>
      <c r="I22" s="17" t="s">
        <v>91</v>
      </c>
      <c r="J22" s="18" t="s">
        <v>81</v>
      </c>
      <c r="K22" s="18">
        <v>1200</v>
      </c>
      <c r="L22" s="18">
        <v>1.2E-2</v>
      </c>
      <c r="M22" s="18" t="s">
        <v>80</v>
      </c>
      <c r="N22" s="18" t="s">
        <v>88</v>
      </c>
      <c r="O22" s="74">
        <v>34.5</v>
      </c>
      <c r="P22" s="42">
        <v>3.9999999999999966E-3</v>
      </c>
      <c r="Q22" s="23">
        <v>1.4E-2</v>
      </c>
      <c r="R22" s="23">
        <v>3.5999999999999997E-2</v>
      </c>
      <c r="S22" s="23">
        <v>5.2999999999999999E-2</v>
      </c>
    </row>
    <row r="23" spans="1:19" ht="14.25" customHeight="1">
      <c r="A23" s="159" t="s">
        <v>94</v>
      </c>
      <c r="B23" s="17" t="s">
        <v>89</v>
      </c>
      <c r="C23" s="61" t="s">
        <v>119</v>
      </c>
      <c r="D23" s="109">
        <v>-60.023335181061036</v>
      </c>
      <c r="E23" s="109">
        <v>-3.1346914912019459</v>
      </c>
      <c r="F23" s="18">
        <v>2003</v>
      </c>
      <c r="G23" s="19" t="s">
        <v>90</v>
      </c>
      <c r="H23" s="18" t="s">
        <v>177</v>
      </c>
      <c r="I23" s="17" t="s">
        <v>91</v>
      </c>
      <c r="J23" s="18" t="s">
        <v>81</v>
      </c>
      <c r="K23" s="18">
        <v>2100</v>
      </c>
      <c r="L23" s="18">
        <v>1.2E-2</v>
      </c>
      <c r="M23" s="18" t="s">
        <v>80</v>
      </c>
      <c r="N23" s="18" t="s">
        <v>88</v>
      </c>
      <c r="O23" s="74">
        <v>88.3</v>
      </c>
      <c r="P23" s="42">
        <v>9.9999999999999915E-4</v>
      </c>
      <c r="Q23" s="23">
        <v>8.0999999999999996E-3</v>
      </c>
      <c r="R23" s="23">
        <v>1.4999999999999999E-2</v>
      </c>
      <c r="S23" s="23">
        <v>0.02</v>
      </c>
    </row>
    <row r="24" spans="1:19" ht="14.25" customHeight="1">
      <c r="A24" s="159" t="s">
        <v>94</v>
      </c>
      <c r="B24" s="17" t="s">
        <v>89</v>
      </c>
      <c r="C24" s="158" t="s">
        <v>138</v>
      </c>
      <c r="D24" s="109">
        <v>-51.939881870252066</v>
      </c>
      <c r="E24" s="109">
        <v>-23.422280000000004</v>
      </c>
      <c r="F24" s="18">
        <v>2003</v>
      </c>
      <c r="G24" s="19" t="s">
        <v>90</v>
      </c>
      <c r="H24" s="18" t="s">
        <v>177</v>
      </c>
      <c r="I24" s="17" t="s">
        <v>91</v>
      </c>
      <c r="J24" s="18" t="s">
        <v>81</v>
      </c>
      <c r="K24" s="18">
        <v>1500</v>
      </c>
      <c r="L24" s="18">
        <v>1.2E-2</v>
      </c>
      <c r="M24" s="18" t="s">
        <v>80</v>
      </c>
      <c r="N24" s="18" t="s">
        <v>88</v>
      </c>
      <c r="O24" s="74">
        <v>96.8</v>
      </c>
      <c r="P24" s="42">
        <v>0</v>
      </c>
      <c r="Q24" s="23">
        <v>7.3000000000000001E-3</v>
      </c>
      <c r="R24" s="23">
        <v>1.2999999999999999E-2</v>
      </c>
      <c r="S24" s="23">
        <v>1.7000000000000001E-2</v>
      </c>
    </row>
    <row r="25" spans="1:19" ht="14.25" customHeight="1">
      <c r="A25" s="159" t="s">
        <v>94</v>
      </c>
      <c r="B25" s="17" t="s">
        <v>89</v>
      </c>
      <c r="C25" s="158" t="s">
        <v>180</v>
      </c>
      <c r="D25" s="109">
        <v>-40.502460574994096</v>
      </c>
      <c r="E25" s="109">
        <v>-7.578141500000001</v>
      </c>
      <c r="F25" s="18">
        <v>2003</v>
      </c>
      <c r="G25" s="19" t="s">
        <v>90</v>
      </c>
      <c r="H25" s="18" t="s">
        <v>177</v>
      </c>
      <c r="I25" s="17" t="s">
        <v>91</v>
      </c>
      <c r="J25" s="18" t="s">
        <v>81</v>
      </c>
      <c r="K25" s="18">
        <v>1500</v>
      </c>
      <c r="L25" s="18">
        <v>1.2E-2</v>
      </c>
      <c r="M25" s="18" t="s">
        <v>80</v>
      </c>
      <c r="N25" s="18" t="s">
        <v>88</v>
      </c>
      <c r="O25" s="74">
        <v>16.5</v>
      </c>
      <c r="P25" s="42">
        <v>2.4999999999999953E-3</v>
      </c>
      <c r="Q25" s="23">
        <v>3.4439999999999998E-2</v>
      </c>
      <c r="R25" s="23">
        <v>5.4739999999999997E-2</v>
      </c>
      <c r="S25" s="23">
        <v>6.633E-2</v>
      </c>
    </row>
    <row r="26" spans="1:19" ht="14.25" customHeight="1" thickBot="1">
      <c r="A26" s="11" t="s">
        <v>94</v>
      </c>
      <c r="B26" s="21" t="s">
        <v>89</v>
      </c>
      <c r="C26" s="21" t="s">
        <v>181</v>
      </c>
      <c r="D26" s="110">
        <v>-34.888941944577716</v>
      </c>
      <c r="E26" s="110">
        <v>-8.0627624830524081</v>
      </c>
      <c r="F26" s="21">
        <v>2003</v>
      </c>
      <c r="G26" s="22" t="s">
        <v>90</v>
      </c>
      <c r="H26" s="21" t="s">
        <v>177</v>
      </c>
      <c r="I26" s="21" t="s">
        <v>91</v>
      </c>
      <c r="J26" s="21" t="s">
        <v>81</v>
      </c>
      <c r="K26" s="21">
        <v>1200</v>
      </c>
      <c r="L26" s="21">
        <v>1.2E-2</v>
      </c>
      <c r="M26" s="21" t="s">
        <v>80</v>
      </c>
      <c r="N26" s="21" t="s">
        <v>88</v>
      </c>
      <c r="O26" s="75">
        <v>42.6</v>
      </c>
      <c r="P26" s="44">
        <v>2.9999999999999957E-3</v>
      </c>
      <c r="Q26" s="29">
        <v>0.02</v>
      </c>
      <c r="R26" s="29">
        <v>4.3999999999999997E-2</v>
      </c>
      <c r="S26" s="29">
        <v>6.0999999999999999E-2</v>
      </c>
    </row>
    <row r="27" spans="1:19" ht="14.25" customHeight="1">
      <c r="A27" s="159" t="s">
        <v>94</v>
      </c>
      <c r="B27" s="17" t="s">
        <v>89</v>
      </c>
      <c r="C27" s="20" t="s">
        <v>124</v>
      </c>
      <c r="D27" s="261"/>
      <c r="E27" s="262"/>
      <c r="F27" s="18">
        <v>2003</v>
      </c>
      <c r="G27" s="19" t="s">
        <v>90</v>
      </c>
      <c r="H27" s="18" t="s">
        <v>177</v>
      </c>
      <c r="I27" s="17" t="s">
        <v>91</v>
      </c>
      <c r="J27" s="158" t="s">
        <v>92</v>
      </c>
      <c r="K27" s="18">
        <v>1200</v>
      </c>
      <c r="L27" s="158">
        <v>0.01</v>
      </c>
      <c r="M27" s="18" t="s">
        <v>80</v>
      </c>
      <c r="N27" s="18" t="s">
        <v>88</v>
      </c>
      <c r="O27" s="51">
        <v>100</v>
      </c>
      <c r="P27" s="42">
        <v>2.0000000000000009E-4</v>
      </c>
      <c r="Q27" s="23">
        <v>2.2000000000000001E-3</v>
      </c>
      <c r="R27" s="23">
        <v>3.2000000000000002E-3</v>
      </c>
      <c r="S27" s="23">
        <v>3.8E-3</v>
      </c>
    </row>
    <row r="28" spans="1:19" ht="14.25" customHeight="1">
      <c r="A28" s="159" t="s">
        <v>94</v>
      </c>
      <c r="B28" s="17" t="s">
        <v>89</v>
      </c>
      <c r="C28" s="158" t="s">
        <v>100</v>
      </c>
      <c r="D28" s="109">
        <v>-50.439226072752582</v>
      </c>
      <c r="E28" s="109">
        <v>-21.205476000000004</v>
      </c>
      <c r="F28" s="18">
        <v>2003</v>
      </c>
      <c r="G28" s="19" t="s">
        <v>90</v>
      </c>
      <c r="H28" s="18" t="s">
        <v>177</v>
      </c>
      <c r="I28" s="17" t="s">
        <v>91</v>
      </c>
      <c r="J28" s="158" t="s">
        <v>92</v>
      </c>
      <c r="K28" s="158">
        <v>1800</v>
      </c>
      <c r="L28" s="158">
        <v>0.01</v>
      </c>
      <c r="M28" s="18" t="s">
        <v>80</v>
      </c>
      <c r="N28" s="17" t="s">
        <v>88</v>
      </c>
      <c r="O28" s="24">
        <v>84.8</v>
      </c>
      <c r="P28" s="42">
        <v>8.9999999999999976E-4</v>
      </c>
      <c r="Q28" s="23">
        <v>5.4999999999999997E-3</v>
      </c>
      <c r="R28" s="23">
        <v>1.09E-2</v>
      </c>
      <c r="S28" s="23">
        <v>1.4500000000000001E-2</v>
      </c>
    </row>
    <row r="29" spans="1:19" ht="14.25" customHeight="1">
      <c r="A29" s="159" t="s">
        <v>94</v>
      </c>
      <c r="B29" s="17" t="s">
        <v>89</v>
      </c>
      <c r="C29" s="158" t="s">
        <v>101</v>
      </c>
      <c r="D29" s="109">
        <v>-48.567377839455055</v>
      </c>
      <c r="E29" s="109">
        <v>-20.558455515000002</v>
      </c>
      <c r="F29" s="18">
        <v>2003</v>
      </c>
      <c r="G29" s="19" t="s">
        <v>90</v>
      </c>
      <c r="H29" s="18" t="s">
        <v>177</v>
      </c>
      <c r="I29" s="17" t="s">
        <v>91</v>
      </c>
      <c r="J29" s="158" t="s">
        <v>92</v>
      </c>
      <c r="K29" s="18">
        <v>1500</v>
      </c>
      <c r="L29" s="158">
        <v>0.01</v>
      </c>
      <c r="M29" s="18" t="s">
        <v>80</v>
      </c>
      <c r="N29" s="17" t="s">
        <v>88</v>
      </c>
      <c r="O29" s="24">
        <v>87.8</v>
      </c>
      <c r="P29" s="42">
        <v>9.9999999999999915E-4</v>
      </c>
      <c r="Q29" s="23">
        <v>6.6E-3</v>
      </c>
      <c r="R29" s="23">
        <v>1.0999999999999999E-2</v>
      </c>
      <c r="S29" s="23">
        <v>1.4E-2</v>
      </c>
    </row>
    <row r="30" spans="1:19" ht="14.25" customHeight="1">
      <c r="A30" s="159" t="s">
        <v>94</v>
      </c>
      <c r="B30" s="17" t="s">
        <v>89</v>
      </c>
      <c r="C30" s="158" t="s">
        <v>102</v>
      </c>
      <c r="D30" s="109">
        <v>-49.083000867090362</v>
      </c>
      <c r="E30" s="109">
        <v>-22.325122500000006</v>
      </c>
      <c r="F30" s="18">
        <v>2003</v>
      </c>
      <c r="G30" s="19" t="s">
        <v>90</v>
      </c>
      <c r="H30" s="18" t="s">
        <v>177</v>
      </c>
      <c r="I30" s="17" t="s">
        <v>91</v>
      </c>
      <c r="J30" s="158" t="s">
        <v>92</v>
      </c>
      <c r="K30" s="18">
        <v>1500</v>
      </c>
      <c r="L30" s="158">
        <v>0.01</v>
      </c>
      <c r="M30" s="18" t="s">
        <v>80</v>
      </c>
      <c r="N30" s="17" t="s">
        <v>88</v>
      </c>
      <c r="O30" s="24">
        <v>98.1</v>
      </c>
      <c r="P30" s="42">
        <v>8.0000000000000036E-4</v>
      </c>
      <c r="Q30" s="23">
        <v>3.5999999999999999E-3</v>
      </c>
      <c r="R30" s="23">
        <v>8.0000000000000002E-3</v>
      </c>
      <c r="S30" s="23">
        <v>1.11E-2</v>
      </c>
    </row>
    <row r="31" spans="1:19" ht="14.25" customHeight="1">
      <c r="A31" s="159" t="s">
        <v>94</v>
      </c>
      <c r="B31" s="17" t="s">
        <v>89</v>
      </c>
      <c r="C31" s="158" t="s">
        <v>104</v>
      </c>
      <c r="D31" s="109">
        <v>-47.06015627297316</v>
      </c>
      <c r="E31" s="109">
        <v>-22.907342500000002</v>
      </c>
      <c r="F31" s="18">
        <v>2003</v>
      </c>
      <c r="G31" s="19" t="s">
        <v>90</v>
      </c>
      <c r="H31" s="18" t="s">
        <v>177</v>
      </c>
      <c r="I31" s="17" t="s">
        <v>91</v>
      </c>
      <c r="J31" s="158" t="s">
        <v>92</v>
      </c>
      <c r="K31" s="18">
        <v>1800</v>
      </c>
      <c r="L31" s="158">
        <v>0.01</v>
      </c>
      <c r="M31" s="18" t="s">
        <v>80</v>
      </c>
      <c r="N31" s="17" t="s">
        <v>88</v>
      </c>
      <c r="O31" s="24">
        <v>97.6</v>
      </c>
      <c r="P31" s="42">
        <v>4.0000000000000018E-4</v>
      </c>
      <c r="Q31" s="23">
        <v>4.1999999999999997E-3</v>
      </c>
      <c r="R31" s="23">
        <v>7.1000000000000004E-3</v>
      </c>
      <c r="S31" s="23">
        <v>8.8000000000000005E-3</v>
      </c>
    </row>
    <row r="32" spans="1:19" ht="14.25" customHeight="1">
      <c r="A32" s="159" t="s">
        <v>94</v>
      </c>
      <c r="B32" s="17" t="s">
        <v>89</v>
      </c>
      <c r="C32" s="158" t="s">
        <v>105</v>
      </c>
      <c r="D32" s="109">
        <v>-46.570383182112749</v>
      </c>
      <c r="E32" s="109">
        <v>-23.567386500000001</v>
      </c>
      <c r="F32" s="18">
        <v>2003</v>
      </c>
      <c r="G32" s="19" t="s">
        <v>90</v>
      </c>
      <c r="H32" s="18" t="s">
        <v>177</v>
      </c>
      <c r="I32" s="17" t="s">
        <v>91</v>
      </c>
      <c r="J32" s="158" t="s">
        <v>92</v>
      </c>
      <c r="K32" s="18">
        <v>2700</v>
      </c>
      <c r="L32" s="158">
        <v>0.01</v>
      </c>
      <c r="M32" s="18" t="s">
        <v>80</v>
      </c>
      <c r="N32" s="17" t="s">
        <v>88</v>
      </c>
      <c r="O32" s="24">
        <v>95.3</v>
      </c>
      <c r="P32" s="42">
        <v>4.0000000000000018E-4</v>
      </c>
      <c r="Q32" s="23">
        <v>3.8E-3</v>
      </c>
      <c r="R32" s="23">
        <v>7.1000000000000004E-3</v>
      </c>
      <c r="S32" s="23">
        <v>9.1999999999999998E-3</v>
      </c>
    </row>
    <row r="33" spans="1:19" ht="14.25" customHeight="1">
      <c r="A33" s="159" t="s">
        <v>94</v>
      </c>
      <c r="B33" s="17" t="s">
        <v>89</v>
      </c>
      <c r="C33" s="158" t="s">
        <v>125</v>
      </c>
      <c r="D33" s="109">
        <v>-47.299749835960981</v>
      </c>
      <c r="E33" s="109">
        <v>-23.265442500000002</v>
      </c>
      <c r="F33" s="18">
        <v>2003</v>
      </c>
      <c r="G33" s="19" t="s">
        <v>90</v>
      </c>
      <c r="H33" s="18" t="s">
        <v>177</v>
      </c>
      <c r="I33" s="17" t="s">
        <v>91</v>
      </c>
      <c r="J33" s="158" t="s">
        <v>92</v>
      </c>
      <c r="K33" s="18">
        <v>1500</v>
      </c>
      <c r="L33" s="158">
        <v>0.01</v>
      </c>
      <c r="M33" s="18" t="s">
        <v>80</v>
      </c>
      <c r="N33" s="17" t="s">
        <v>88</v>
      </c>
      <c r="O33" s="24">
        <v>97</v>
      </c>
      <c r="P33" s="42">
        <v>2.9999999999999992E-4</v>
      </c>
      <c r="Q33" s="23">
        <v>5.0000000000000001E-3</v>
      </c>
      <c r="R33" s="23">
        <v>7.7000000000000002E-3</v>
      </c>
      <c r="S33" s="23">
        <v>9.2999999999999992E-3</v>
      </c>
    </row>
    <row r="34" spans="1:19" ht="14.25" customHeight="1">
      <c r="A34" s="159" t="s">
        <v>94</v>
      </c>
      <c r="B34" s="17" t="s">
        <v>89</v>
      </c>
      <c r="C34" s="158" t="s">
        <v>107</v>
      </c>
      <c r="D34" s="109">
        <v>-49.951645643103269</v>
      </c>
      <c r="E34" s="109">
        <v>-22.122743500000002</v>
      </c>
      <c r="F34" s="18">
        <v>2003</v>
      </c>
      <c r="G34" s="19" t="s">
        <v>90</v>
      </c>
      <c r="H34" s="18" t="s">
        <v>177</v>
      </c>
      <c r="I34" s="17" t="s">
        <v>91</v>
      </c>
      <c r="J34" s="158" t="s">
        <v>92</v>
      </c>
      <c r="K34" s="18">
        <v>2100</v>
      </c>
      <c r="L34" s="158">
        <v>0.01</v>
      </c>
      <c r="M34" s="18" t="s">
        <v>80</v>
      </c>
      <c r="N34" s="17" t="s">
        <v>88</v>
      </c>
      <c r="O34" s="24">
        <v>97.3</v>
      </c>
      <c r="P34" s="42">
        <v>5.0000000000000044E-4</v>
      </c>
      <c r="Q34" s="23">
        <v>4.4999999999999997E-3</v>
      </c>
      <c r="R34" s="23">
        <v>8.0000000000000002E-3</v>
      </c>
      <c r="S34" s="23">
        <v>1.0200000000000001E-2</v>
      </c>
    </row>
    <row r="35" spans="1:19" ht="14.25" customHeight="1">
      <c r="A35" s="159" t="s">
        <v>94</v>
      </c>
      <c r="B35" s="17" t="s">
        <v>89</v>
      </c>
      <c r="C35" s="158" t="s">
        <v>95</v>
      </c>
      <c r="D35" s="109">
        <v>-46.570383182112749</v>
      </c>
      <c r="E35" s="109">
        <v>-23.567386500000001</v>
      </c>
      <c r="F35" s="18">
        <v>2003</v>
      </c>
      <c r="G35" s="19" t="s">
        <v>90</v>
      </c>
      <c r="H35" s="18" t="s">
        <v>177</v>
      </c>
      <c r="I35" s="17" t="s">
        <v>91</v>
      </c>
      <c r="J35" s="158" t="s">
        <v>92</v>
      </c>
      <c r="K35" s="18">
        <v>1500</v>
      </c>
      <c r="L35" s="158">
        <v>0.01</v>
      </c>
      <c r="M35" s="18" t="s">
        <v>80</v>
      </c>
      <c r="N35" s="17" t="s">
        <v>88</v>
      </c>
      <c r="O35" s="24">
        <v>97.2</v>
      </c>
      <c r="P35" s="42">
        <v>5.0000000000000044E-4</v>
      </c>
      <c r="Q35" s="23">
        <v>4.1999999999999997E-3</v>
      </c>
      <c r="R35" s="23">
        <v>7.7000000000000002E-3</v>
      </c>
      <c r="S35" s="23">
        <v>9.9000000000000008E-3</v>
      </c>
    </row>
    <row r="36" spans="1:19" ht="14.25" customHeight="1">
      <c r="A36" s="159" t="s">
        <v>94</v>
      </c>
      <c r="B36" s="17" t="s">
        <v>89</v>
      </c>
      <c r="C36" s="158" t="s">
        <v>108</v>
      </c>
      <c r="D36" s="109">
        <v>-51.386765581912492</v>
      </c>
      <c r="E36" s="109">
        <v>-24.494251427999906</v>
      </c>
      <c r="F36" s="18">
        <v>2003</v>
      </c>
      <c r="G36" s="19" t="s">
        <v>90</v>
      </c>
      <c r="H36" s="18" t="s">
        <v>177</v>
      </c>
      <c r="I36" s="17" t="s">
        <v>91</v>
      </c>
      <c r="J36" s="158" t="s">
        <v>92</v>
      </c>
      <c r="K36" s="18">
        <v>1800</v>
      </c>
      <c r="L36" s="158">
        <v>0.01</v>
      </c>
      <c r="M36" s="18" t="s">
        <v>80</v>
      </c>
      <c r="N36" s="17" t="s">
        <v>88</v>
      </c>
      <c r="O36" s="24">
        <v>97.5</v>
      </c>
      <c r="P36" s="42">
        <v>4.0000000000000018E-4</v>
      </c>
      <c r="Q36" s="23">
        <v>4.7000000000000002E-3</v>
      </c>
      <c r="R36" s="23">
        <v>8.0000000000000002E-3</v>
      </c>
      <c r="S36" s="23">
        <v>0.01</v>
      </c>
    </row>
    <row r="37" spans="1:19" ht="14.25" customHeight="1">
      <c r="A37" s="159" t="s">
        <v>94</v>
      </c>
      <c r="B37" s="17" t="s">
        <v>89</v>
      </c>
      <c r="C37" s="158" t="s">
        <v>109</v>
      </c>
      <c r="D37" s="109">
        <v>-47.805475915541528</v>
      </c>
      <c r="E37" s="109">
        <v>-21.184834500000004</v>
      </c>
      <c r="F37" s="18">
        <v>2003</v>
      </c>
      <c r="G37" s="19" t="s">
        <v>90</v>
      </c>
      <c r="H37" s="18" t="s">
        <v>177</v>
      </c>
      <c r="I37" s="17" t="s">
        <v>91</v>
      </c>
      <c r="J37" s="158" t="s">
        <v>92</v>
      </c>
      <c r="K37" s="18">
        <v>1500</v>
      </c>
      <c r="L37" s="158">
        <v>0.01</v>
      </c>
      <c r="M37" s="18" t="s">
        <v>80</v>
      </c>
      <c r="N37" s="17" t="s">
        <v>88</v>
      </c>
      <c r="O37" s="24">
        <v>91.5</v>
      </c>
      <c r="P37" s="42">
        <v>5.0000000000000044E-4</v>
      </c>
      <c r="Q37" s="23">
        <v>4.4999999999999997E-3</v>
      </c>
      <c r="R37" s="23">
        <v>9.4999999999999998E-3</v>
      </c>
      <c r="S37" s="23">
        <v>1.2800000000000001E-2</v>
      </c>
    </row>
    <row r="38" spans="1:19" ht="14.25" customHeight="1">
      <c r="A38" s="159" t="s">
        <v>94</v>
      </c>
      <c r="B38" s="17" t="s">
        <v>89</v>
      </c>
      <c r="C38" s="158" t="s">
        <v>127</v>
      </c>
      <c r="D38" s="109">
        <v>-46.922092505649722</v>
      </c>
      <c r="E38" s="109">
        <v>-23.933737500000003</v>
      </c>
      <c r="F38" s="18">
        <v>2003</v>
      </c>
      <c r="G38" s="19" t="s">
        <v>90</v>
      </c>
      <c r="H38" s="18" t="s">
        <v>177</v>
      </c>
      <c r="I38" s="17" t="s">
        <v>91</v>
      </c>
      <c r="J38" s="158" t="s">
        <v>92</v>
      </c>
      <c r="K38" s="18">
        <v>1800</v>
      </c>
      <c r="L38" s="158">
        <v>0.01</v>
      </c>
      <c r="M38" s="18" t="s">
        <v>80</v>
      </c>
      <c r="N38" s="17" t="s">
        <v>88</v>
      </c>
      <c r="O38" s="24">
        <v>99.6</v>
      </c>
      <c r="P38" s="42">
        <v>1.9999999999999966E-4</v>
      </c>
      <c r="Q38" s="23">
        <v>2E-3</v>
      </c>
      <c r="R38" s="23">
        <v>3.3999999999999998E-3</v>
      </c>
      <c r="S38" s="23">
        <v>4.1999999999999997E-3</v>
      </c>
    </row>
    <row r="39" spans="1:19" ht="14.25" customHeight="1">
      <c r="A39" s="159" t="s">
        <v>94</v>
      </c>
      <c r="B39" s="17" t="s">
        <v>89</v>
      </c>
      <c r="C39" s="158" t="s">
        <v>110</v>
      </c>
      <c r="D39" s="109">
        <v>-46.331370849190684</v>
      </c>
      <c r="E39" s="109">
        <v>-23.933737500000003</v>
      </c>
      <c r="F39" s="18">
        <v>2003</v>
      </c>
      <c r="G39" s="19" t="s">
        <v>90</v>
      </c>
      <c r="H39" s="18" t="s">
        <v>177</v>
      </c>
      <c r="I39" s="17" t="s">
        <v>91</v>
      </c>
      <c r="J39" s="158" t="s">
        <v>92</v>
      </c>
      <c r="K39" s="18">
        <v>1500</v>
      </c>
      <c r="L39" s="158">
        <v>0.01</v>
      </c>
      <c r="M39" s="18" t="s">
        <v>80</v>
      </c>
      <c r="N39" s="17" t="s">
        <v>88</v>
      </c>
      <c r="O39" s="24">
        <v>76.3</v>
      </c>
      <c r="P39" s="42">
        <v>9.9999999999999915E-4</v>
      </c>
      <c r="Q39" s="23">
        <v>7.6E-3</v>
      </c>
      <c r="R39" s="23">
        <v>1.2999999999999999E-2</v>
      </c>
      <c r="S39" s="23">
        <v>1.6299999999999999E-2</v>
      </c>
    </row>
    <row r="40" spans="1:19" ht="14.25" customHeight="1">
      <c r="A40" s="159" t="s">
        <v>94</v>
      </c>
      <c r="B40" s="17" t="s">
        <v>89</v>
      </c>
      <c r="C40" s="158" t="s">
        <v>112</v>
      </c>
      <c r="D40" s="109">
        <v>-49.381347685025794</v>
      </c>
      <c r="E40" s="109">
        <v>-20.812636500000004</v>
      </c>
      <c r="F40" s="18">
        <v>2003</v>
      </c>
      <c r="G40" s="19" t="s">
        <v>90</v>
      </c>
      <c r="H40" s="18" t="s">
        <v>177</v>
      </c>
      <c r="I40" s="17" t="s">
        <v>91</v>
      </c>
      <c r="J40" s="158" t="s">
        <v>92</v>
      </c>
      <c r="K40" s="18">
        <v>1200</v>
      </c>
      <c r="L40" s="158">
        <v>0.01</v>
      </c>
      <c r="M40" s="18" t="s">
        <v>80</v>
      </c>
      <c r="N40" s="17" t="s">
        <v>88</v>
      </c>
      <c r="O40" s="24">
        <v>78.3</v>
      </c>
      <c r="P40" s="42">
        <v>5.0000000000000044E-4</v>
      </c>
      <c r="Q40" s="23">
        <v>4.1999999999999997E-3</v>
      </c>
      <c r="R40" s="23">
        <v>8.2000000000000007E-3</v>
      </c>
      <c r="S40" s="23">
        <v>1.0999999999999999E-2</v>
      </c>
    </row>
    <row r="41" spans="1:19" ht="14.25" customHeight="1">
      <c r="A41" s="159" t="s">
        <v>94</v>
      </c>
      <c r="B41" s="17" t="s">
        <v>89</v>
      </c>
      <c r="C41" s="158" t="s">
        <v>113</v>
      </c>
      <c r="D41" s="109">
        <v>-45.402680140543957</v>
      </c>
      <c r="E41" s="109">
        <v>-23.806687652148753</v>
      </c>
      <c r="F41" s="18">
        <v>2003</v>
      </c>
      <c r="G41" s="19" t="s">
        <v>90</v>
      </c>
      <c r="H41" s="18" t="s">
        <v>177</v>
      </c>
      <c r="I41" s="17" t="s">
        <v>91</v>
      </c>
      <c r="J41" s="158" t="s">
        <v>92</v>
      </c>
      <c r="K41" s="18">
        <v>1800</v>
      </c>
      <c r="L41" s="158">
        <v>0.01</v>
      </c>
      <c r="M41" s="18" t="s">
        <v>80</v>
      </c>
      <c r="N41" s="17" t="s">
        <v>88</v>
      </c>
      <c r="O41" s="24" t="s">
        <v>98</v>
      </c>
      <c r="P41" s="42">
        <v>5.9999999999999984E-4</v>
      </c>
      <c r="Q41" s="23">
        <v>6.3E-3</v>
      </c>
      <c r="R41" s="23">
        <v>1.1299999999999999E-2</v>
      </c>
      <c r="S41" s="23">
        <v>1.44E-2</v>
      </c>
    </row>
    <row r="42" spans="1:19" ht="14.25" customHeight="1">
      <c r="A42" s="159" t="s">
        <v>94</v>
      </c>
      <c r="B42" s="17" t="s">
        <v>89</v>
      </c>
      <c r="C42" s="158" t="s">
        <v>114</v>
      </c>
      <c r="D42" s="109">
        <v>-47.457853253204043</v>
      </c>
      <c r="E42" s="109">
        <v>-23.499323</v>
      </c>
      <c r="F42" s="18">
        <v>2003</v>
      </c>
      <c r="G42" s="19" t="s">
        <v>90</v>
      </c>
      <c r="H42" s="18" t="s">
        <v>177</v>
      </c>
      <c r="I42" s="17" t="s">
        <v>91</v>
      </c>
      <c r="J42" s="158" t="s">
        <v>92</v>
      </c>
      <c r="K42" s="18">
        <v>1800</v>
      </c>
      <c r="L42" s="158">
        <v>0.01</v>
      </c>
      <c r="M42" s="18" t="s">
        <v>80</v>
      </c>
      <c r="N42" s="17" t="s">
        <v>88</v>
      </c>
      <c r="O42" s="24">
        <v>93</v>
      </c>
      <c r="P42" s="42">
        <v>3.9999999999999931E-4</v>
      </c>
      <c r="Q42" s="23">
        <v>4.7000000000000002E-3</v>
      </c>
      <c r="R42" s="23">
        <v>8.0999999999999996E-3</v>
      </c>
      <c r="S42" s="23">
        <v>0.01</v>
      </c>
    </row>
    <row r="43" spans="1:19" ht="14.25" customHeight="1">
      <c r="A43" s="159" t="s">
        <v>94</v>
      </c>
      <c r="B43" s="17" t="s">
        <v>89</v>
      </c>
      <c r="C43" s="17" t="s">
        <v>115</v>
      </c>
      <c r="D43" s="109">
        <v>-60.670532672965052</v>
      </c>
      <c r="E43" s="109">
        <v>2.8166819191043904</v>
      </c>
      <c r="F43" s="18">
        <v>2003</v>
      </c>
      <c r="G43" s="19" t="s">
        <v>90</v>
      </c>
      <c r="H43" s="18" t="s">
        <v>177</v>
      </c>
      <c r="I43" s="17" t="s">
        <v>91</v>
      </c>
      <c r="J43" s="158" t="s">
        <v>92</v>
      </c>
      <c r="K43" s="18">
        <v>1500</v>
      </c>
      <c r="L43" s="158">
        <v>0.01</v>
      </c>
      <c r="M43" s="18" t="s">
        <v>80</v>
      </c>
      <c r="N43" s="17" t="s">
        <v>88</v>
      </c>
      <c r="O43" s="24">
        <v>95.8</v>
      </c>
      <c r="P43" s="42">
        <v>4.0000000000000105E-4</v>
      </c>
      <c r="Q43" s="23">
        <v>5.1000000000000004E-3</v>
      </c>
      <c r="R43" s="23">
        <v>9.1000000000000004E-3</v>
      </c>
      <c r="S43" s="23">
        <v>1.0999999999999999E-2</v>
      </c>
    </row>
    <row r="44" spans="1:19" ht="14.25" customHeight="1">
      <c r="A44" s="159" t="s">
        <v>94</v>
      </c>
      <c r="B44" s="17" t="s">
        <v>89</v>
      </c>
      <c r="C44" s="18" t="s">
        <v>31</v>
      </c>
      <c r="D44" s="109">
        <v>-35.038488971813102</v>
      </c>
      <c r="E44" s="109">
        <v>-8.2898642302978818</v>
      </c>
      <c r="F44" s="18">
        <v>2003</v>
      </c>
      <c r="G44" s="19" t="s">
        <v>90</v>
      </c>
      <c r="H44" s="18" t="s">
        <v>177</v>
      </c>
      <c r="I44" s="17" t="s">
        <v>91</v>
      </c>
      <c r="J44" s="158" t="s">
        <v>92</v>
      </c>
      <c r="K44" s="18">
        <v>1800</v>
      </c>
      <c r="L44" s="158">
        <v>0.01</v>
      </c>
      <c r="M44" s="18" t="s">
        <v>80</v>
      </c>
      <c r="N44" s="17" t="s">
        <v>88</v>
      </c>
      <c r="O44" s="24">
        <v>89</v>
      </c>
      <c r="P44" s="42">
        <v>5.9999999999999984E-4</v>
      </c>
      <c r="Q44" s="23">
        <v>5.7000000000000002E-3</v>
      </c>
      <c r="R44" s="23">
        <v>1.04E-2</v>
      </c>
      <c r="S44" s="23">
        <v>1.34E-2</v>
      </c>
    </row>
    <row r="45" spans="1:19" ht="14.25" customHeight="1">
      <c r="A45" s="159" t="s">
        <v>94</v>
      </c>
      <c r="B45" s="17" t="s">
        <v>89</v>
      </c>
      <c r="C45" s="158" t="s">
        <v>116</v>
      </c>
      <c r="D45" s="109">
        <v>-38.589927555043182</v>
      </c>
      <c r="E45" s="109">
        <v>-3.7238050350000007</v>
      </c>
      <c r="F45" s="18">
        <v>2003</v>
      </c>
      <c r="G45" s="19" t="s">
        <v>90</v>
      </c>
      <c r="H45" s="18" t="s">
        <v>177</v>
      </c>
      <c r="I45" s="17" t="s">
        <v>91</v>
      </c>
      <c r="J45" s="158" t="s">
        <v>92</v>
      </c>
      <c r="K45" s="18">
        <v>1500</v>
      </c>
      <c r="L45" s="158">
        <v>0.01</v>
      </c>
      <c r="M45" s="18" t="s">
        <v>80</v>
      </c>
      <c r="N45" s="17" t="s">
        <v>88</v>
      </c>
      <c r="O45" s="24">
        <v>58.8</v>
      </c>
      <c r="P45" s="42">
        <v>2E-3</v>
      </c>
      <c r="Q45" s="23">
        <v>8.9999999999999993E-3</v>
      </c>
      <c r="R45" s="23">
        <v>1.6E-2</v>
      </c>
      <c r="S45" s="23">
        <v>1.9E-2</v>
      </c>
    </row>
    <row r="46" spans="1:19" ht="14.25" customHeight="1">
      <c r="A46" s="159" t="s">
        <v>94</v>
      </c>
      <c r="B46" s="17" t="s">
        <v>89</v>
      </c>
      <c r="C46" s="158" t="s">
        <v>146</v>
      </c>
      <c r="D46" s="109">
        <v>-54.58710248860465</v>
      </c>
      <c r="E46" s="109">
        <v>-25.542493279529253</v>
      </c>
      <c r="F46" s="18">
        <v>2003</v>
      </c>
      <c r="G46" s="19" t="s">
        <v>90</v>
      </c>
      <c r="H46" s="18" t="s">
        <v>177</v>
      </c>
      <c r="I46" s="17" t="s">
        <v>91</v>
      </c>
      <c r="J46" s="158" t="s">
        <v>92</v>
      </c>
      <c r="K46" s="18">
        <v>1200</v>
      </c>
      <c r="L46" s="158">
        <v>0.01</v>
      </c>
      <c r="M46" s="18" t="s">
        <v>80</v>
      </c>
      <c r="N46" s="17" t="s">
        <v>88</v>
      </c>
      <c r="O46" s="24">
        <v>99.8</v>
      </c>
      <c r="P46" s="42">
        <v>5.0000000000000044E-4</v>
      </c>
      <c r="Q46" s="23">
        <v>3.3999999999999998E-3</v>
      </c>
      <c r="R46" s="23">
        <v>7.0000000000000001E-3</v>
      </c>
      <c r="S46" s="23">
        <v>9.4000000000000004E-3</v>
      </c>
    </row>
    <row r="47" spans="1:19" ht="14.25" customHeight="1">
      <c r="A47" s="159" t="s">
        <v>94</v>
      </c>
      <c r="B47" s="17" t="s">
        <v>89</v>
      </c>
      <c r="C47" s="18" t="s">
        <v>30</v>
      </c>
      <c r="D47" s="109">
        <v>-34.921173467260282</v>
      </c>
      <c r="E47" s="109">
        <v>-8.1653914673574501</v>
      </c>
      <c r="F47" s="18">
        <v>2003</v>
      </c>
      <c r="G47" s="19" t="s">
        <v>90</v>
      </c>
      <c r="H47" s="18" t="s">
        <v>177</v>
      </c>
      <c r="I47" s="17" t="s">
        <v>91</v>
      </c>
      <c r="J47" s="158" t="s">
        <v>92</v>
      </c>
      <c r="K47" s="18">
        <v>1200</v>
      </c>
      <c r="L47" s="158">
        <v>0.01</v>
      </c>
      <c r="M47" s="18" t="s">
        <v>80</v>
      </c>
      <c r="N47" s="17" t="s">
        <v>88</v>
      </c>
      <c r="O47" s="24">
        <v>56.9</v>
      </c>
      <c r="P47" s="42">
        <v>2.5000000000000005E-3</v>
      </c>
      <c r="Q47" s="23">
        <v>7.1000000000000004E-3</v>
      </c>
      <c r="R47" s="23">
        <v>1.7100000000000001E-2</v>
      </c>
      <c r="S47" s="23">
        <v>2.46E-2</v>
      </c>
    </row>
    <row r="48" spans="1:19" ht="14.25" customHeight="1">
      <c r="A48" s="159" t="s">
        <v>94</v>
      </c>
      <c r="B48" s="17" t="s">
        <v>89</v>
      </c>
      <c r="C48" s="61" t="s">
        <v>119</v>
      </c>
      <c r="D48" s="109">
        <v>-60.023335181061036</v>
      </c>
      <c r="E48" s="109">
        <v>-3.1346914912019459</v>
      </c>
      <c r="F48" s="18">
        <v>2003</v>
      </c>
      <c r="G48" s="19" t="s">
        <v>90</v>
      </c>
      <c r="H48" s="18" t="s">
        <v>177</v>
      </c>
      <c r="I48" s="17" t="s">
        <v>91</v>
      </c>
      <c r="J48" s="158" t="s">
        <v>92</v>
      </c>
      <c r="K48" s="18">
        <v>1500</v>
      </c>
      <c r="L48" s="158">
        <v>0.01</v>
      </c>
      <c r="M48" s="18" t="s">
        <v>80</v>
      </c>
      <c r="N48" s="17" t="s">
        <v>88</v>
      </c>
      <c r="O48" s="24">
        <v>99</v>
      </c>
      <c r="P48" s="42">
        <v>5.9999999999999984E-4</v>
      </c>
      <c r="Q48" s="23">
        <v>3.5000000000000001E-3</v>
      </c>
      <c r="R48" s="23">
        <v>7.7000000000000002E-3</v>
      </c>
      <c r="S48" s="23">
        <v>1.0800000000000001E-2</v>
      </c>
    </row>
    <row r="49" spans="1:19" ht="14.25" customHeight="1">
      <c r="A49" s="159" t="s">
        <v>94</v>
      </c>
      <c r="B49" s="17" t="s">
        <v>89</v>
      </c>
      <c r="C49" s="158" t="s">
        <v>138</v>
      </c>
      <c r="D49" s="109">
        <v>-51.939881870252066</v>
      </c>
      <c r="E49" s="109">
        <v>-23.422280000000004</v>
      </c>
      <c r="F49" s="18">
        <v>2003</v>
      </c>
      <c r="G49" s="19" t="s">
        <v>90</v>
      </c>
      <c r="H49" s="18" t="s">
        <v>177</v>
      </c>
      <c r="I49" s="17" t="s">
        <v>91</v>
      </c>
      <c r="J49" s="158" t="s">
        <v>92</v>
      </c>
      <c r="K49" s="18">
        <v>1800</v>
      </c>
      <c r="L49" s="158">
        <v>0.01</v>
      </c>
      <c r="M49" s="18" t="s">
        <v>80</v>
      </c>
      <c r="N49" s="17" t="s">
        <v>88</v>
      </c>
      <c r="O49" s="24">
        <v>82</v>
      </c>
      <c r="P49" s="42">
        <v>4.0000000000000018E-4</v>
      </c>
      <c r="Q49" s="23">
        <v>4.7000000000000002E-3</v>
      </c>
      <c r="R49" s="23">
        <v>7.4000000000000003E-3</v>
      </c>
      <c r="S49" s="23">
        <v>8.8999999999999999E-3</v>
      </c>
    </row>
    <row r="50" spans="1:19" ht="14.25" customHeight="1">
      <c r="A50" s="159" t="s">
        <v>94</v>
      </c>
      <c r="B50" s="17" t="s">
        <v>89</v>
      </c>
      <c r="C50" s="158" t="s">
        <v>180</v>
      </c>
      <c r="D50" s="109">
        <v>-40.502460574994096</v>
      </c>
      <c r="E50" s="109">
        <v>-7.578141500000001</v>
      </c>
      <c r="F50" s="18">
        <v>2003</v>
      </c>
      <c r="G50" s="19" t="s">
        <v>90</v>
      </c>
      <c r="H50" s="18" t="s">
        <v>177</v>
      </c>
      <c r="I50" s="17" t="s">
        <v>91</v>
      </c>
      <c r="J50" s="158" t="s">
        <v>92</v>
      </c>
      <c r="K50" s="18">
        <v>1800</v>
      </c>
      <c r="L50" s="158">
        <v>0.01</v>
      </c>
      <c r="M50" s="18" t="s">
        <v>80</v>
      </c>
      <c r="N50" s="17" t="s">
        <v>88</v>
      </c>
      <c r="O50" s="24">
        <v>51.7</v>
      </c>
      <c r="P50" s="42">
        <v>8.000000000000021E-4</v>
      </c>
      <c r="Q50" s="23">
        <v>1.0200000000000001E-2</v>
      </c>
      <c r="R50" s="23">
        <v>1.8100000000000002E-2</v>
      </c>
      <c r="S50" s="23">
        <v>2.29E-2</v>
      </c>
    </row>
    <row r="51" spans="1:19" ht="14.25" customHeight="1" thickBot="1">
      <c r="A51" s="11" t="s">
        <v>94</v>
      </c>
      <c r="B51" s="21" t="s">
        <v>89</v>
      </c>
      <c r="C51" s="21" t="s">
        <v>181</v>
      </c>
      <c r="D51" s="110">
        <v>-34.888941944577716</v>
      </c>
      <c r="E51" s="110">
        <v>-8.0627624830524081</v>
      </c>
      <c r="F51" s="21">
        <v>2003</v>
      </c>
      <c r="G51" s="22" t="s">
        <v>90</v>
      </c>
      <c r="H51" s="21" t="s">
        <v>177</v>
      </c>
      <c r="I51" s="21" t="s">
        <v>91</v>
      </c>
      <c r="J51" s="11" t="s">
        <v>92</v>
      </c>
      <c r="K51" s="21">
        <v>1500</v>
      </c>
      <c r="L51" s="11">
        <v>0.01</v>
      </c>
      <c r="M51" s="21" t="s">
        <v>80</v>
      </c>
      <c r="N51" s="21" t="s">
        <v>88</v>
      </c>
      <c r="O51" s="25">
        <v>80</v>
      </c>
      <c r="P51" s="44">
        <v>9.9999999999999915E-4</v>
      </c>
      <c r="Q51" s="29">
        <v>6.4000000000000003E-3</v>
      </c>
      <c r="R51" s="29">
        <v>1.2999999999999999E-2</v>
      </c>
      <c r="S51" s="29">
        <v>1.7000000000000001E-2</v>
      </c>
    </row>
    <row r="52" spans="1:19" ht="14.25" customHeight="1">
      <c r="A52" s="159" t="s">
        <v>94</v>
      </c>
      <c r="B52" s="17" t="s">
        <v>89</v>
      </c>
      <c r="C52" s="20" t="s">
        <v>124</v>
      </c>
      <c r="D52" s="261"/>
      <c r="E52" s="262"/>
      <c r="F52" s="18">
        <v>2003</v>
      </c>
      <c r="G52" s="19" t="s">
        <v>90</v>
      </c>
      <c r="H52" s="18" t="s">
        <v>177</v>
      </c>
      <c r="I52" s="17" t="s">
        <v>91</v>
      </c>
      <c r="J52" s="158" t="s">
        <v>93</v>
      </c>
      <c r="K52" s="158">
        <f>4*300</f>
        <v>1200</v>
      </c>
      <c r="L52" s="158">
        <v>0.2</v>
      </c>
      <c r="M52" s="18" t="s">
        <v>80</v>
      </c>
      <c r="N52" s="17" t="s">
        <v>88</v>
      </c>
      <c r="O52" s="76">
        <v>100</v>
      </c>
      <c r="P52" s="105">
        <v>1.800000000000003E-3</v>
      </c>
      <c r="Q52" s="3">
        <v>2.87E-2</v>
      </c>
      <c r="R52" s="3">
        <v>4.7600000000000003E-2</v>
      </c>
      <c r="S52" s="3">
        <v>5.8700000000000002E-2</v>
      </c>
    </row>
    <row r="53" spans="1:19" ht="14.25" customHeight="1">
      <c r="A53" s="159" t="s">
        <v>94</v>
      </c>
      <c r="B53" s="17" t="s">
        <v>89</v>
      </c>
      <c r="C53" s="158" t="s">
        <v>100</v>
      </c>
      <c r="D53" s="109">
        <v>-50.439226072752582</v>
      </c>
      <c r="E53" s="109">
        <v>-21.205476000000004</v>
      </c>
      <c r="F53" s="18">
        <v>2003</v>
      </c>
      <c r="G53" s="19" t="s">
        <v>90</v>
      </c>
      <c r="H53" s="18" t="s">
        <v>177</v>
      </c>
      <c r="I53" s="17" t="s">
        <v>91</v>
      </c>
      <c r="J53" s="158" t="s">
        <v>93</v>
      </c>
      <c r="K53" s="18">
        <v>1200</v>
      </c>
      <c r="L53" s="158">
        <v>0.2</v>
      </c>
      <c r="M53" s="18" t="s">
        <v>80</v>
      </c>
      <c r="N53" s="17" t="s">
        <v>88</v>
      </c>
      <c r="O53" s="28">
        <v>90.875</v>
      </c>
      <c r="P53" s="42">
        <v>4.599999999999993E-3</v>
      </c>
      <c r="Q53" s="3">
        <v>5.5899999999999998E-2</v>
      </c>
      <c r="R53" s="3">
        <v>9.2899999999999996E-2</v>
      </c>
      <c r="S53" s="3">
        <v>0.115</v>
      </c>
    </row>
    <row r="54" spans="1:19" ht="14.25" customHeight="1">
      <c r="A54" s="159" t="s">
        <v>94</v>
      </c>
      <c r="B54" s="17" t="s">
        <v>89</v>
      </c>
      <c r="C54" s="158" t="s">
        <v>101</v>
      </c>
      <c r="D54" s="109">
        <v>-48.567377839455055</v>
      </c>
      <c r="E54" s="109">
        <v>-20.558455515000002</v>
      </c>
      <c r="F54" s="18">
        <v>2003</v>
      </c>
      <c r="G54" s="19" t="s">
        <v>90</v>
      </c>
      <c r="H54" s="18" t="s">
        <v>177</v>
      </c>
      <c r="I54" s="17" t="s">
        <v>91</v>
      </c>
      <c r="J54" s="158" t="s">
        <v>93</v>
      </c>
      <c r="K54" s="18">
        <v>1200</v>
      </c>
      <c r="L54" s="158">
        <v>0.2</v>
      </c>
      <c r="M54" s="18" t="s">
        <v>80</v>
      </c>
      <c r="N54" s="17" t="s">
        <v>88</v>
      </c>
      <c r="O54" s="28">
        <v>92.625</v>
      </c>
      <c r="P54" s="42">
        <v>6.0000000000000053E-3</v>
      </c>
      <c r="Q54" s="3">
        <v>6.6699999999999995E-2</v>
      </c>
      <c r="R54" s="3">
        <v>0.126</v>
      </c>
      <c r="S54" s="3">
        <v>0.16500000000000001</v>
      </c>
    </row>
    <row r="55" spans="1:19" ht="14.25" customHeight="1">
      <c r="A55" s="159" t="s">
        <v>94</v>
      </c>
      <c r="B55" s="17" t="s">
        <v>89</v>
      </c>
      <c r="C55" s="158" t="s">
        <v>102</v>
      </c>
      <c r="D55" s="109">
        <v>-49.083000867090362</v>
      </c>
      <c r="E55" s="109">
        <v>-22.325122500000006</v>
      </c>
      <c r="F55" s="18">
        <v>2003</v>
      </c>
      <c r="G55" s="19" t="s">
        <v>90</v>
      </c>
      <c r="H55" s="18" t="s">
        <v>177</v>
      </c>
      <c r="I55" s="17" t="s">
        <v>91</v>
      </c>
      <c r="J55" s="158" t="s">
        <v>93</v>
      </c>
      <c r="K55" s="18">
        <v>1500</v>
      </c>
      <c r="L55" s="158">
        <v>0.2</v>
      </c>
      <c r="M55" s="18" t="s">
        <v>80</v>
      </c>
      <c r="N55" s="17" t="s">
        <v>88</v>
      </c>
      <c r="O55" s="28">
        <v>97.4</v>
      </c>
      <c r="P55" s="42">
        <v>8.0000000000000071E-3</v>
      </c>
      <c r="Q55" s="3">
        <v>6.4710000000000004E-2</v>
      </c>
      <c r="R55" s="3">
        <v>0.11700000000000001</v>
      </c>
      <c r="S55" s="3">
        <v>0.14899999999999999</v>
      </c>
    </row>
    <row r="56" spans="1:19" ht="14.25" customHeight="1">
      <c r="A56" s="159" t="s">
        <v>94</v>
      </c>
      <c r="B56" s="17" t="s">
        <v>89</v>
      </c>
      <c r="C56" s="158" t="s">
        <v>104</v>
      </c>
      <c r="D56" s="109">
        <v>-47.06015627297316</v>
      </c>
      <c r="E56" s="109">
        <v>-22.907342500000002</v>
      </c>
      <c r="F56" s="18">
        <v>2003</v>
      </c>
      <c r="G56" s="19" t="s">
        <v>90</v>
      </c>
      <c r="H56" s="18" t="s">
        <v>177</v>
      </c>
      <c r="I56" s="17" t="s">
        <v>91</v>
      </c>
      <c r="J56" s="158" t="s">
        <v>93</v>
      </c>
      <c r="K56" s="18">
        <v>1800</v>
      </c>
      <c r="L56" s="158">
        <v>0.2</v>
      </c>
      <c r="M56" s="18" t="s">
        <v>80</v>
      </c>
      <c r="N56" s="17" t="s">
        <v>88</v>
      </c>
      <c r="O56" s="28">
        <v>95.416666666666671</v>
      </c>
      <c r="P56" s="42">
        <v>8.3000000000000018E-3</v>
      </c>
      <c r="Q56" s="3">
        <v>4.7500000000000001E-2</v>
      </c>
      <c r="R56" s="3">
        <v>0.1067</v>
      </c>
      <c r="S56" s="3">
        <v>0.14910000000000001</v>
      </c>
    </row>
    <row r="57" spans="1:19" ht="14.25" customHeight="1">
      <c r="A57" s="159" t="s">
        <v>94</v>
      </c>
      <c r="B57" s="17" t="s">
        <v>89</v>
      </c>
      <c r="C57" s="158" t="s">
        <v>105</v>
      </c>
      <c r="D57" s="109">
        <v>-46.570383182112749</v>
      </c>
      <c r="E57" s="109">
        <v>-23.567386500000001</v>
      </c>
      <c r="F57" s="18">
        <v>2003</v>
      </c>
      <c r="G57" s="19" t="s">
        <v>90</v>
      </c>
      <c r="H57" s="18" t="s">
        <v>177</v>
      </c>
      <c r="I57" s="17" t="s">
        <v>91</v>
      </c>
      <c r="J57" s="158" t="s">
        <v>93</v>
      </c>
      <c r="K57" s="18">
        <v>1800</v>
      </c>
      <c r="L57" s="158">
        <v>0.2</v>
      </c>
      <c r="M57" s="18" t="s">
        <v>80</v>
      </c>
      <c r="N57" s="17" t="s">
        <v>88</v>
      </c>
      <c r="O57" s="28">
        <v>97.25</v>
      </c>
      <c r="P57" s="42">
        <v>1.0999999999999982E-2</v>
      </c>
      <c r="Q57" s="3">
        <v>7.4899999999999994E-2</v>
      </c>
      <c r="R57" s="3">
        <v>0.14899999999999999</v>
      </c>
      <c r="S57" s="3">
        <v>0.19700000000000001</v>
      </c>
    </row>
    <row r="58" spans="1:19" ht="14.25" customHeight="1">
      <c r="A58" s="159" t="s">
        <v>94</v>
      </c>
      <c r="B58" s="17" t="s">
        <v>89</v>
      </c>
      <c r="C58" s="158" t="s">
        <v>125</v>
      </c>
      <c r="D58" s="109">
        <v>-47.299749835960981</v>
      </c>
      <c r="E58" s="109">
        <v>-23.265442500000002</v>
      </c>
      <c r="F58" s="18">
        <v>2003</v>
      </c>
      <c r="G58" s="19" t="s">
        <v>90</v>
      </c>
      <c r="H58" s="18" t="s">
        <v>177</v>
      </c>
      <c r="I58" s="17" t="s">
        <v>91</v>
      </c>
      <c r="J58" s="158" t="s">
        <v>93</v>
      </c>
      <c r="K58" s="18">
        <v>1500</v>
      </c>
      <c r="L58" s="158">
        <v>0.2</v>
      </c>
      <c r="M58" s="18" t="s">
        <v>80</v>
      </c>
      <c r="N58" s="17" t="s">
        <v>88</v>
      </c>
      <c r="O58" s="28">
        <v>92.06</v>
      </c>
      <c r="P58" s="42">
        <v>1.1999999999999983E-2</v>
      </c>
      <c r="Q58" s="3">
        <v>7.5800000000000006E-2</v>
      </c>
      <c r="R58" s="3">
        <v>0.14799999999999999</v>
      </c>
      <c r="S58" s="3">
        <v>0.19600000000000001</v>
      </c>
    </row>
    <row r="59" spans="1:19" ht="14.25" customHeight="1">
      <c r="A59" s="159" t="s">
        <v>94</v>
      </c>
      <c r="B59" s="17" t="s">
        <v>89</v>
      </c>
      <c r="C59" s="158" t="s">
        <v>107</v>
      </c>
      <c r="D59" s="109">
        <v>-49.951645643103269</v>
      </c>
      <c r="E59" s="109">
        <v>-22.122743500000002</v>
      </c>
      <c r="F59" s="18">
        <v>2003</v>
      </c>
      <c r="G59" s="19" t="s">
        <v>90</v>
      </c>
      <c r="H59" s="18" t="s">
        <v>177</v>
      </c>
      <c r="I59" s="17" t="s">
        <v>91</v>
      </c>
      <c r="J59" s="158" t="s">
        <v>93</v>
      </c>
      <c r="K59" s="18">
        <v>1500</v>
      </c>
      <c r="L59" s="158">
        <v>0.2</v>
      </c>
      <c r="M59" s="18" t="s">
        <v>80</v>
      </c>
      <c r="N59" s="17" t="s">
        <v>88</v>
      </c>
      <c r="O59" s="28">
        <v>97.08</v>
      </c>
      <c r="P59" s="42">
        <v>1.0999999999999996E-2</v>
      </c>
      <c r="Q59" s="3">
        <v>5.1999999999999998E-2</v>
      </c>
      <c r="R59" s="3">
        <v>0.11</v>
      </c>
      <c r="S59" s="3">
        <v>0.14000000000000001</v>
      </c>
    </row>
    <row r="60" spans="1:19" ht="14.25" customHeight="1">
      <c r="A60" s="159" t="s">
        <v>94</v>
      </c>
      <c r="B60" s="17" t="s">
        <v>89</v>
      </c>
      <c r="C60" s="158" t="s">
        <v>95</v>
      </c>
      <c r="D60" s="109">
        <v>-46.570383182112749</v>
      </c>
      <c r="E60" s="109">
        <v>-23.567386500000001</v>
      </c>
      <c r="F60" s="18">
        <v>2003</v>
      </c>
      <c r="G60" s="19" t="s">
        <v>90</v>
      </c>
      <c r="H60" s="18" t="s">
        <v>177</v>
      </c>
      <c r="I60" s="17" t="s">
        <v>91</v>
      </c>
      <c r="J60" s="158" t="s">
        <v>93</v>
      </c>
      <c r="K60" s="18">
        <v>1800</v>
      </c>
      <c r="L60" s="158">
        <v>0.2</v>
      </c>
      <c r="M60" s="18" t="s">
        <v>80</v>
      </c>
      <c r="N60" s="17" t="s">
        <v>88</v>
      </c>
      <c r="O60" s="28">
        <v>95.566666666666663</v>
      </c>
      <c r="P60" s="42">
        <v>6.0000000000000053E-3</v>
      </c>
      <c r="Q60" s="3">
        <v>5.2999999999999999E-2</v>
      </c>
      <c r="R60" s="3">
        <v>9.7000000000000003E-2</v>
      </c>
      <c r="S60" s="3">
        <v>0.12</v>
      </c>
    </row>
    <row r="61" spans="1:19" ht="14.25" customHeight="1">
      <c r="A61" s="159" t="s">
        <v>94</v>
      </c>
      <c r="B61" s="17" t="s">
        <v>89</v>
      </c>
      <c r="C61" s="158" t="s">
        <v>108</v>
      </c>
      <c r="D61" s="109">
        <v>-51.386765581912492</v>
      </c>
      <c r="E61" s="109">
        <v>-24.494251427999906</v>
      </c>
      <c r="F61" s="18">
        <v>2003</v>
      </c>
      <c r="G61" s="19" t="s">
        <v>90</v>
      </c>
      <c r="H61" s="18" t="s">
        <v>177</v>
      </c>
      <c r="I61" s="17" t="s">
        <v>91</v>
      </c>
      <c r="J61" s="158" t="s">
        <v>93</v>
      </c>
      <c r="K61" s="18">
        <v>900</v>
      </c>
      <c r="L61" s="158">
        <v>0.2</v>
      </c>
      <c r="M61" s="18" t="s">
        <v>80</v>
      </c>
      <c r="N61" s="17" t="s">
        <v>88</v>
      </c>
      <c r="O61" s="28">
        <v>99.633333333333326</v>
      </c>
      <c r="P61" s="42">
        <v>8.0000000000000071E-3</v>
      </c>
      <c r="Q61" s="3">
        <v>5.3199999999999997E-2</v>
      </c>
      <c r="R61" s="3">
        <v>0.111</v>
      </c>
      <c r="S61" s="3">
        <v>0.151</v>
      </c>
    </row>
    <row r="62" spans="1:19" ht="14.25" customHeight="1">
      <c r="A62" s="159" t="s">
        <v>94</v>
      </c>
      <c r="B62" s="17" t="s">
        <v>89</v>
      </c>
      <c r="C62" s="158" t="s">
        <v>109</v>
      </c>
      <c r="D62" s="109">
        <v>-47.805475915541528</v>
      </c>
      <c r="E62" s="109">
        <v>-21.184834500000004</v>
      </c>
      <c r="F62" s="18">
        <v>2003</v>
      </c>
      <c r="G62" s="19" t="s">
        <v>90</v>
      </c>
      <c r="H62" s="18" t="s">
        <v>177</v>
      </c>
      <c r="I62" s="17" t="s">
        <v>91</v>
      </c>
      <c r="J62" s="158" t="s">
        <v>93</v>
      </c>
      <c r="K62" s="18">
        <v>1800</v>
      </c>
      <c r="L62" s="158">
        <v>0.2</v>
      </c>
      <c r="M62" s="18" t="s">
        <v>80</v>
      </c>
      <c r="N62" s="17" t="s">
        <v>88</v>
      </c>
      <c r="O62" s="28">
        <v>92.083333333333329</v>
      </c>
      <c r="P62" s="42">
        <v>1.1999999999999983E-2</v>
      </c>
      <c r="Q62" s="3">
        <v>6.3500000000000001E-2</v>
      </c>
      <c r="R62" s="3">
        <v>0.14899999999999999</v>
      </c>
      <c r="S62" s="3">
        <v>0.21199999999999999</v>
      </c>
    </row>
    <row r="63" spans="1:19" ht="14.25" customHeight="1">
      <c r="A63" s="159" t="s">
        <v>94</v>
      </c>
      <c r="B63" s="17" t="s">
        <v>89</v>
      </c>
      <c r="C63" s="158" t="s">
        <v>127</v>
      </c>
      <c r="D63" s="109">
        <v>-46.922092505649722</v>
      </c>
      <c r="E63" s="109">
        <v>-23.933737500000003</v>
      </c>
      <c r="F63" s="18">
        <v>2003</v>
      </c>
      <c r="G63" s="19" t="s">
        <v>90</v>
      </c>
      <c r="H63" s="18" t="s">
        <v>177</v>
      </c>
      <c r="I63" s="17" t="s">
        <v>91</v>
      </c>
      <c r="J63" s="158" t="s">
        <v>93</v>
      </c>
      <c r="K63" s="18">
        <v>900</v>
      </c>
      <c r="L63" s="158">
        <v>0.2</v>
      </c>
      <c r="M63" s="18" t="s">
        <v>80</v>
      </c>
      <c r="N63" s="17" t="s">
        <v>88</v>
      </c>
      <c r="O63" s="28">
        <v>99.333333333333329</v>
      </c>
      <c r="P63" s="42">
        <v>5.0000000000000044E-3</v>
      </c>
      <c r="Q63" s="3">
        <v>4.2999999999999997E-2</v>
      </c>
      <c r="R63" s="3">
        <v>7.8E-2</v>
      </c>
      <c r="S63" s="3">
        <v>0.1</v>
      </c>
    </row>
    <row r="64" spans="1:19" ht="14.25" customHeight="1">
      <c r="A64" s="159" t="s">
        <v>94</v>
      </c>
      <c r="B64" s="17" t="s">
        <v>89</v>
      </c>
      <c r="C64" s="158" t="s">
        <v>110</v>
      </c>
      <c r="D64" s="109">
        <v>-46.331370849190684</v>
      </c>
      <c r="E64" s="109">
        <v>-23.933737500000003</v>
      </c>
      <c r="F64" s="17">
        <v>2003</v>
      </c>
      <c r="G64" s="19" t="s">
        <v>90</v>
      </c>
      <c r="H64" s="18" t="s">
        <v>177</v>
      </c>
      <c r="I64" s="17" t="s">
        <v>91</v>
      </c>
      <c r="J64" s="158" t="s">
        <v>93</v>
      </c>
      <c r="K64" s="17">
        <v>1500</v>
      </c>
      <c r="L64" s="158">
        <v>0.2</v>
      </c>
      <c r="M64" s="17" t="s">
        <v>80</v>
      </c>
      <c r="N64" s="17" t="s">
        <v>88</v>
      </c>
      <c r="O64" s="10">
        <v>88.97999999999999</v>
      </c>
      <c r="P64" s="42">
        <v>6.0000000000000053E-3</v>
      </c>
      <c r="Q64" s="3">
        <v>6.2700000000000006E-2</v>
      </c>
      <c r="R64" s="3">
        <v>0.108</v>
      </c>
      <c r="S64" s="3">
        <v>0.13500000000000001</v>
      </c>
    </row>
    <row r="65" spans="1:19" ht="14.25" customHeight="1">
      <c r="A65" s="159" t="s">
        <v>94</v>
      </c>
      <c r="B65" s="17" t="s">
        <v>89</v>
      </c>
      <c r="C65" s="158" t="s">
        <v>112</v>
      </c>
      <c r="D65" s="109">
        <v>-49.381347685025794</v>
      </c>
      <c r="E65" s="109">
        <v>-20.812636500000004</v>
      </c>
      <c r="F65" s="17">
        <v>2003</v>
      </c>
      <c r="G65" s="19" t="s">
        <v>90</v>
      </c>
      <c r="H65" s="18" t="s">
        <v>177</v>
      </c>
      <c r="I65" s="17" t="s">
        <v>91</v>
      </c>
      <c r="J65" s="158" t="s">
        <v>93</v>
      </c>
      <c r="K65" s="17">
        <v>1200</v>
      </c>
      <c r="L65" s="158">
        <v>0.2</v>
      </c>
      <c r="M65" s="17" t="s">
        <v>80</v>
      </c>
      <c r="N65" s="17" t="s">
        <v>88</v>
      </c>
      <c r="O65" s="28">
        <v>98.875</v>
      </c>
      <c r="P65" s="42">
        <v>5.400000000000002E-3</v>
      </c>
      <c r="Q65" s="3">
        <v>7.2400000000000006E-2</v>
      </c>
      <c r="R65" s="3">
        <v>0.1176</v>
      </c>
      <c r="S65" s="3">
        <v>0.14380000000000001</v>
      </c>
    </row>
    <row r="66" spans="1:19" ht="14.25" customHeight="1">
      <c r="A66" s="159" t="s">
        <v>94</v>
      </c>
      <c r="B66" s="17" t="s">
        <v>89</v>
      </c>
      <c r="C66" s="158" t="s">
        <v>113</v>
      </c>
      <c r="D66" s="109">
        <v>-45.402680140543957</v>
      </c>
      <c r="E66" s="109">
        <v>-23.806687652148753</v>
      </c>
      <c r="F66" s="17">
        <v>2003</v>
      </c>
      <c r="G66" s="19" t="s">
        <v>90</v>
      </c>
      <c r="H66" s="18" t="s">
        <v>177</v>
      </c>
      <c r="I66" s="17" t="s">
        <v>91</v>
      </c>
      <c r="J66" s="158" t="s">
        <v>93</v>
      </c>
      <c r="K66" s="17">
        <v>1200</v>
      </c>
      <c r="L66" s="158">
        <v>0.2</v>
      </c>
      <c r="M66" s="17" t="s">
        <v>80</v>
      </c>
      <c r="N66" s="17" t="s">
        <v>88</v>
      </c>
      <c r="O66" s="28">
        <v>87.275000000000006</v>
      </c>
      <c r="P66" s="42">
        <v>1.6199999999999992E-2</v>
      </c>
      <c r="Q66" s="3">
        <v>6.7080000000000001E-2</v>
      </c>
      <c r="R66" s="3">
        <v>0.18049999999999999</v>
      </c>
      <c r="S66" s="3">
        <v>0.27210000000000001</v>
      </c>
    </row>
    <row r="67" spans="1:19" ht="14.25" customHeight="1">
      <c r="A67" s="159" t="s">
        <v>94</v>
      </c>
      <c r="B67" s="17" t="s">
        <v>89</v>
      </c>
      <c r="C67" s="158" t="s">
        <v>114</v>
      </c>
      <c r="D67" s="109">
        <v>-47.457853253204043</v>
      </c>
      <c r="E67" s="109">
        <v>-23.499323</v>
      </c>
      <c r="F67" s="17">
        <v>2003</v>
      </c>
      <c r="G67" s="19" t="s">
        <v>90</v>
      </c>
      <c r="H67" s="18" t="s">
        <v>177</v>
      </c>
      <c r="I67" s="17" t="s">
        <v>91</v>
      </c>
      <c r="J67" s="158" t="s">
        <v>93</v>
      </c>
      <c r="K67" s="17">
        <v>1500</v>
      </c>
      <c r="L67" s="158">
        <v>0.2</v>
      </c>
      <c r="M67" s="17" t="s">
        <v>80</v>
      </c>
      <c r="N67" s="17" t="s">
        <v>88</v>
      </c>
      <c r="O67" s="28">
        <v>86.7</v>
      </c>
      <c r="P67" s="42">
        <v>8.0000000000000071E-3</v>
      </c>
      <c r="Q67" s="3">
        <v>7.3899999999999993E-2</v>
      </c>
      <c r="R67" s="3">
        <v>0.13800000000000001</v>
      </c>
      <c r="S67" s="3">
        <v>0.17899999999999999</v>
      </c>
    </row>
    <row r="68" spans="1:19" ht="14.25" customHeight="1">
      <c r="A68" s="159" t="s">
        <v>94</v>
      </c>
      <c r="B68" s="17" t="s">
        <v>89</v>
      </c>
      <c r="C68" s="17" t="s">
        <v>115</v>
      </c>
      <c r="D68" s="109">
        <v>-60.670532672965052</v>
      </c>
      <c r="E68" s="109">
        <v>2.8166819191043904</v>
      </c>
      <c r="F68" s="17">
        <v>2003</v>
      </c>
      <c r="G68" s="19" t="s">
        <v>90</v>
      </c>
      <c r="H68" s="18" t="s">
        <v>177</v>
      </c>
      <c r="I68" s="17" t="s">
        <v>91</v>
      </c>
      <c r="J68" s="158" t="s">
        <v>93</v>
      </c>
      <c r="K68" s="17">
        <v>1200</v>
      </c>
      <c r="L68" s="158">
        <v>0.2</v>
      </c>
      <c r="M68" s="17" t="s">
        <v>80</v>
      </c>
      <c r="N68" s="17" t="s">
        <v>88</v>
      </c>
      <c r="O68" s="28">
        <v>71.875</v>
      </c>
      <c r="P68" s="42">
        <v>2.1000000000000019E-2</v>
      </c>
      <c r="Q68" s="3">
        <v>8.2000000000000003E-2</v>
      </c>
      <c r="R68" s="3">
        <v>0.20200000000000001</v>
      </c>
      <c r="S68" s="3">
        <v>0.29299999999999998</v>
      </c>
    </row>
    <row r="69" spans="1:19" ht="14.25" customHeight="1">
      <c r="A69" s="159" t="s">
        <v>94</v>
      </c>
      <c r="B69" s="17" t="s">
        <v>89</v>
      </c>
      <c r="C69" s="18" t="s">
        <v>31</v>
      </c>
      <c r="D69" s="109">
        <v>-35.038488971813102</v>
      </c>
      <c r="E69" s="109">
        <v>-8.2898642302978818</v>
      </c>
      <c r="F69" s="17">
        <v>2003</v>
      </c>
      <c r="G69" s="19" t="s">
        <v>90</v>
      </c>
      <c r="H69" s="18" t="s">
        <v>177</v>
      </c>
      <c r="I69" s="17" t="s">
        <v>91</v>
      </c>
      <c r="J69" s="158" t="s">
        <v>93</v>
      </c>
      <c r="K69" s="17">
        <v>1200</v>
      </c>
      <c r="L69" s="158">
        <v>0.2</v>
      </c>
      <c r="M69" s="17" t="s">
        <v>80</v>
      </c>
      <c r="N69" s="17" t="s">
        <v>88</v>
      </c>
      <c r="O69" s="28">
        <v>86.375</v>
      </c>
      <c r="P69" s="42">
        <v>2.0000000000000018E-2</v>
      </c>
      <c r="Q69" s="3">
        <v>7.8E-2</v>
      </c>
      <c r="R69" s="3">
        <v>0.17</v>
      </c>
      <c r="S69" s="3">
        <v>0.23</v>
      </c>
    </row>
    <row r="70" spans="1:19" ht="14.25" customHeight="1">
      <c r="A70" s="159" t="s">
        <v>94</v>
      </c>
      <c r="B70" s="17" t="s">
        <v>89</v>
      </c>
      <c r="C70" s="158" t="s">
        <v>116</v>
      </c>
      <c r="D70" s="109">
        <v>-38.589927555043182</v>
      </c>
      <c r="E70" s="109">
        <v>-3.7238050350000007</v>
      </c>
      <c r="F70" s="17">
        <v>2003</v>
      </c>
      <c r="G70" s="19" t="s">
        <v>90</v>
      </c>
      <c r="H70" s="18" t="s">
        <v>177</v>
      </c>
      <c r="I70" s="17" t="s">
        <v>91</v>
      </c>
      <c r="J70" s="158" t="s">
        <v>93</v>
      </c>
      <c r="K70" s="17">
        <v>1500</v>
      </c>
      <c r="L70" s="158">
        <v>0.2</v>
      </c>
      <c r="M70" s="17" t="s">
        <v>80</v>
      </c>
      <c r="N70" s="17" t="s">
        <v>88</v>
      </c>
      <c r="O70" s="28">
        <v>86.6</v>
      </c>
      <c r="P70" s="42">
        <v>1.529999999999998E-2</v>
      </c>
      <c r="Q70" s="3">
        <v>8.4269999999999998E-2</v>
      </c>
      <c r="R70" s="3">
        <v>0.18432999999999999</v>
      </c>
      <c r="S70" s="3">
        <v>0.25490000000000002</v>
      </c>
    </row>
    <row r="71" spans="1:19" ht="14.25" customHeight="1">
      <c r="A71" s="159" t="s">
        <v>94</v>
      </c>
      <c r="B71" s="17" t="s">
        <v>89</v>
      </c>
      <c r="C71" s="158" t="s">
        <v>146</v>
      </c>
      <c r="D71" s="109">
        <v>-54.58710248860465</v>
      </c>
      <c r="E71" s="109">
        <v>-25.542493279529253</v>
      </c>
      <c r="F71" s="17">
        <v>2003</v>
      </c>
      <c r="G71" s="19" t="s">
        <v>90</v>
      </c>
      <c r="H71" s="18" t="s">
        <v>177</v>
      </c>
      <c r="I71" s="17" t="s">
        <v>91</v>
      </c>
      <c r="J71" s="158" t="s">
        <v>93</v>
      </c>
      <c r="K71" s="17">
        <v>1800</v>
      </c>
      <c r="L71" s="158">
        <v>0.2</v>
      </c>
      <c r="M71" s="17" t="s">
        <v>80</v>
      </c>
      <c r="N71" s="17" t="s">
        <v>88</v>
      </c>
      <c r="O71" s="28">
        <v>98.7</v>
      </c>
      <c r="P71" s="42">
        <v>8.8000000000000023E-3</v>
      </c>
      <c r="Q71" s="3">
        <v>4.7100000000000003E-2</v>
      </c>
      <c r="R71" s="3">
        <v>0.1043</v>
      </c>
      <c r="S71" s="3">
        <v>0.14510000000000001</v>
      </c>
    </row>
    <row r="72" spans="1:19" ht="14.25" customHeight="1">
      <c r="A72" s="159" t="s">
        <v>94</v>
      </c>
      <c r="B72" s="17" t="s">
        <v>89</v>
      </c>
      <c r="C72" s="18" t="s">
        <v>30</v>
      </c>
      <c r="D72" s="109">
        <v>-34.921173467260282</v>
      </c>
      <c r="E72" s="109">
        <v>-8.1653914673574501</v>
      </c>
      <c r="F72" s="17">
        <v>2003</v>
      </c>
      <c r="G72" s="19" t="s">
        <v>90</v>
      </c>
      <c r="H72" s="18" t="s">
        <v>177</v>
      </c>
      <c r="I72" s="17" t="s">
        <v>91</v>
      </c>
      <c r="J72" s="158" t="s">
        <v>93</v>
      </c>
      <c r="K72" s="17">
        <v>1200</v>
      </c>
      <c r="L72" s="158">
        <v>0.2</v>
      </c>
      <c r="M72" s="17" t="s">
        <v>80</v>
      </c>
      <c r="N72" s="17" t="s">
        <v>88</v>
      </c>
      <c r="O72" s="28">
        <v>72.174999999999997</v>
      </c>
      <c r="P72" s="42">
        <v>1.670000000000002E-2</v>
      </c>
      <c r="Q72" s="3">
        <v>9.5689999999999997E-2</v>
      </c>
      <c r="R72" s="3">
        <v>0.21560000000000001</v>
      </c>
      <c r="S72" s="3">
        <v>0.30180000000000001</v>
      </c>
    </row>
    <row r="73" spans="1:19" ht="14.25" customHeight="1">
      <c r="A73" s="159" t="s">
        <v>94</v>
      </c>
      <c r="B73" s="17" t="s">
        <v>89</v>
      </c>
      <c r="C73" s="61" t="s">
        <v>119</v>
      </c>
      <c r="D73" s="109">
        <v>-60.023335181061036</v>
      </c>
      <c r="E73" s="109">
        <v>-3.1346914912019459</v>
      </c>
      <c r="F73" s="17">
        <v>2003</v>
      </c>
      <c r="G73" s="19" t="s">
        <v>90</v>
      </c>
      <c r="H73" s="18" t="s">
        <v>177</v>
      </c>
      <c r="I73" s="17" t="s">
        <v>91</v>
      </c>
      <c r="J73" s="158" t="s">
        <v>93</v>
      </c>
      <c r="K73" s="17">
        <v>1800</v>
      </c>
      <c r="L73" s="158">
        <v>0.2</v>
      </c>
      <c r="M73" s="17" t="s">
        <v>80</v>
      </c>
      <c r="N73" s="17" t="s">
        <v>88</v>
      </c>
      <c r="O73" s="28">
        <v>97.083333333333329</v>
      </c>
      <c r="P73" s="42">
        <v>5.9999999999999915E-3</v>
      </c>
      <c r="Q73" s="3">
        <v>5.7799999999999997E-2</v>
      </c>
      <c r="R73" s="3">
        <v>0.10639999999999999</v>
      </c>
      <c r="S73" s="3">
        <v>0.13700000000000001</v>
      </c>
    </row>
    <row r="74" spans="1:19" ht="14.25" customHeight="1">
      <c r="A74" s="159" t="s">
        <v>94</v>
      </c>
      <c r="B74" s="17" t="s">
        <v>89</v>
      </c>
      <c r="C74" s="158" t="s">
        <v>138</v>
      </c>
      <c r="D74" s="109">
        <v>-51.939881870252066</v>
      </c>
      <c r="E74" s="109">
        <v>-23.422280000000004</v>
      </c>
      <c r="F74" s="17">
        <v>2003</v>
      </c>
      <c r="G74" s="19" t="s">
        <v>90</v>
      </c>
      <c r="H74" s="18" t="s">
        <v>177</v>
      </c>
      <c r="I74" s="17" t="s">
        <v>91</v>
      </c>
      <c r="J74" s="158" t="s">
        <v>93</v>
      </c>
      <c r="K74" s="17">
        <v>1500</v>
      </c>
      <c r="L74" s="158">
        <v>0.2</v>
      </c>
      <c r="M74" s="17" t="s">
        <v>80</v>
      </c>
      <c r="N74" s="17" t="s">
        <v>88</v>
      </c>
      <c r="O74" s="28">
        <v>82.1</v>
      </c>
      <c r="P74" s="42">
        <v>1.1099999999999999E-2</v>
      </c>
      <c r="Q74" s="3">
        <v>7.4800000000000005E-2</v>
      </c>
      <c r="R74" s="3">
        <v>0.14699999999999999</v>
      </c>
      <c r="S74" s="3">
        <v>0.19450000000000001</v>
      </c>
    </row>
    <row r="75" spans="1:19" ht="14.25" customHeight="1">
      <c r="A75" s="159" t="s">
        <v>94</v>
      </c>
      <c r="B75" s="17" t="s">
        <v>89</v>
      </c>
      <c r="C75" s="17" t="s">
        <v>181</v>
      </c>
      <c r="D75" s="127">
        <v>-34.888941944577716</v>
      </c>
      <c r="E75" s="127">
        <v>-8.0627624830524081</v>
      </c>
      <c r="F75" s="17">
        <v>2003</v>
      </c>
      <c r="G75" s="19" t="s">
        <v>90</v>
      </c>
      <c r="H75" s="18" t="s">
        <v>177</v>
      </c>
      <c r="I75" s="17" t="s">
        <v>91</v>
      </c>
      <c r="J75" s="158" t="s">
        <v>93</v>
      </c>
      <c r="K75" s="17">
        <v>1500</v>
      </c>
      <c r="L75" s="158">
        <v>0.2</v>
      </c>
      <c r="M75" s="17" t="s">
        <v>80</v>
      </c>
      <c r="N75" s="17" t="s">
        <v>88</v>
      </c>
      <c r="O75" s="28">
        <v>81</v>
      </c>
      <c r="P75" s="42">
        <v>1.0000000000000009E-2</v>
      </c>
      <c r="Q75" s="3">
        <v>8.7999999999999995E-2</v>
      </c>
      <c r="R75" s="3">
        <v>0.17</v>
      </c>
      <c r="S75" s="3">
        <v>0.22</v>
      </c>
    </row>
    <row r="76" spans="1:19" ht="14.25" customHeight="1" thickBot="1">
      <c r="A76" s="11" t="s">
        <v>94</v>
      </c>
      <c r="B76" s="21" t="s">
        <v>89</v>
      </c>
      <c r="C76" s="11" t="s">
        <v>180</v>
      </c>
      <c r="D76" s="110">
        <v>-40.502460574994096</v>
      </c>
      <c r="E76" s="110">
        <v>-7.578141500000001</v>
      </c>
      <c r="F76" s="21">
        <v>2003</v>
      </c>
      <c r="G76" s="22" t="s">
        <v>90</v>
      </c>
      <c r="H76" s="21" t="s">
        <v>177</v>
      </c>
      <c r="I76" s="21" t="s">
        <v>91</v>
      </c>
      <c r="J76" s="11" t="s">
        <v>93</v>
      </c>
      <c r="K76" s="21">
        <v>2400</v>
      </c>
      <c r="L76" s="11">
        <v>0.2</v>
      </c>
      <c r="M76" s="21" t="s">
        <v>80</v>
      </c>
      <c r="N76" s="21" t="s">
        <v>88</v>
      </c>
      <c r="O76" s="25">
        <v>93.625</v>
      </c>
      <c r="P76" s="44">
        <v>1.0999999999999982E-2</v>
      </c>
      <c r="Q76" s="13">
        <v>8.5000000000000006E-2</v>
      </c>
      <c r="R76" s="13">
        <v>0.17299999999999999</v>
      </c>
      <c r="S76" s="13">
        <v>0.23200000000000001</v>
      </c>
    </row>
    <row r="77" spans="1:19" ht="14.25" customHeight="1">
      <c r="A77" s="159" t="s">
        <v>94</v>
      </c>
      <c r="B77" s="17" t="s">
        <v>89</v>
      </c>
      <c r="C77" s="20" t="s">
        <v>124</v>
      </c>
      <c r="D77" s="261"/>
      <c r="E77" s="262"/>
      <c r="F77" s="18">
        <v>2003</v>
      </c>
      <c r="G77" s="19" t="s">
        <v>90</v>
      </c>
      <c r="H77" s="18" t="s">
        <v>177</v>
      </c>
      <c r="I77" s="17" t="s">
        <v>91</v>
      </c>
      <c r="J77" s="158" t="s">
        <v>176</v>
      </c>
      <c r="K77" s="158">
        <f>36*15*3</f>
        <v>1620</v>
      </c>
      <c r="L77" s="158"/>
      <c r="M77" s="18" t="s">
        <v>80</v>
      </c>
      <c r="N77" s="17" t="s">
        <v>88</v>
      </c>
      <c r="O77" s="76"/>
      <c r="P77" s="42">
        <v>5.9999999999999984E-4</v>
      </c>
      <c r="Q77" s="43">
        <v>5.4999999999999997E-3</v>
      </c>
      <c r="R77" s="43">
        <v>1.0800000000000001E-2</v>
      </c>
      <c r="S77" s="43">
        <v>1.43E-2</v>
      </c>
    </row>
    <row r="78" spans="1:19" ht="14.25" customHeight="1">
      <c r="A78" s="159" t="s">
        <v>94</v>
      </c>
      <c r="B78" s="17" t="s">
        <v>89</v>
      </c>
      <c r="C78" s="158" t="s">
        <v>100</v>
      </c>
      <c r="D78" s="109">
        <v>-50.439226072752582</v>
      </c>
      <c r="E78" s="109">
        <v>-21.205476000000004</v>
      </c>
      <c r="F78" s="18">
        <v>2003</v>
      </c>
      <c r="G78" s="19" t="s">
        <v>90</v>
      </c>
      <c r="H78" s="18" t="s">
        <v>177</v>
      </c>
      <c r="I78" s="17" t="s">
        <v>91</v>
      </c>
      <c r="J78" s="158" t="s">
        <v>176</v>
      </c>
      <c r="K78" s="158">
        <f t="shared" ref="K78:K85" si="0">36*15*3</f>
        <v>1620</v>
      </c>
      <c r="L78" s="158"/>
      <c r="M78" s="18" t="s">
        <v>80</v>
      </c>
      <c r="N78" s="17" t="s">
        <v>88</v>
      </c>
      <c r="O78" s="10"/>
      <c r="P78" s="42">
        <v>8.199999999999999E-3</v>
      </c>
      <c r="Q78" s="43">
        <v>8.0189999999999997E-2</v>
      </c>
      <c r="R78" s="43">
        <v>0.12859999999999999</v>
      </c>
      <c r="S78" s="43">
        <v>0.15640000000000001</v>
      </c>
    </row>
    <row r="79" spans="1:19" ht="14.25" customHeight="1">
      <c r="A79" s="159" t="s">
        <v>94</v>
      </c>
      <c r="B79" s="17" t="s">
        <v>89</v>
      </c>
      <c r="C79" s="158" t="s">
        <v>101</v>
      </c>
      <c r="D79" s="109">
        <v>-48.567377839455055</v>
      </c>
      <c r="E79" s="109">
        <v>-20.558455515000002</v>
      </c>
      <c r="F79" s="18">
        <v>2003</v>
      </c>
      <c r="G79" s="19" t="s">
        <v>90</v>
      </c>
      <c r="H79" s="18" t="s">
        <v>177</v>
      </c>
      <c r="I79" s="17" t="s">
        <v>91</v>
      </c>
      <c r="J79" s="158" t="s">
        <v>176</v>
      </c>
      <c r="K79" s="158">
        <f t="shared" si="0"/>
        <v>1620</v>
      </c>
      <c r="L79" s="158"/>
      <c r="M79" s="18" t="s">
        <v>80</v>
      </c>
      <c r="N79" s="17" t="s">
        <v>88</v>
      </c>
      <c r="O79" s="10"/>
      <c r="P79" s="42">
        <v>2.300000000000002E-2</v>
      </c>
      <c r="Q79" s="43">
        <v>6.9889999999999994E-2</v>
      </c>
      <c r="R79" s="43">
        <v>0.16900000000000001</v>
      </c>
      <c r="S79" s="43">
        <v>0.246</v>
      </c>
    </row>
    <row r="80" spans="1:19" ht="14.25" customHeight="1">
      <c r="A80" s="159" t="s">
        <v>94</v>
      </c>
      <c r="B80" s="17" t="s">
        <v>89</v>
      </c>
      <c r="C80" s="158" t="s">
        <v>102</v>
      </c>
      <c r="D80" s="109">
        <v>-49.083000867090362</v>
      </c>
      <c r="E80" s="109">
        <v>-22.325122500000006</v>
      </c>
      <c r="F80" s="18">
        <v>2003</v>
      </c>
      <c r="G80" s="19" t="s">
        <v>90</v>
      </c>
      <c r="H80" s="18" t="s">
        <v>177</v>
      </c>
      <c r="I80" s="17" t="s">
        <v>91</v>
      </c>
      <c r="J80" s="158" t="s">
        <v>176</v>
      </c>
      <c r="K80" s="158">
        <f t="shared" si="0"/>
        <v>1620</v>
      </c>
      <c r="L80" s="158"/>
      <c r="M80" s="18" t="s">
        <v>80</v>
      </c>
      <c r="N80" s="17" t="s">
        <v>88</v>
      </c>
      <c r="O80" s="10"/>
      <c r="P80" s="42">
        <v>7.1000000000000091E-3</v>
      </c>
      <c r="Q80" s="43">
        <v>3.1379999999999998E-2</v>
      </c>
      <c r="R80" s="43">
        <v>7.757E-2</v>
      </c>
      <c r="S80" s="43">
        <v>0.11287</v>
      </c>
    </row>
    <row r="81" spans="1:19" ht="14.25" customHeight="1">
      <c r="A81" s="159" t="s">
        <v>94</v>
      </c>
      <c r="B81" s="17" t="s">
        <v>89</v>
      </c>
      <c r="C81" s="158" t="s">
        <v>107</v>
      </c>
      <c r="D81" s="109">
        <v>-49.951645643103269</v>
      </c>
      <c r="E81" s="109">
        <v>-22.122743500000002</v>
      </c>
      <c r="F81" s="18">
        <v>2003</v>
      </c>
      <c r="G81" s="19" t="s">
        <v>90</v>
      </c>
      <c r="H81" s="18" t="s">
        <v>177</v>
      </c>
      <c r="I81" s="17" t="s">
        <v>91</v>
      </c>
      <c r="J81" s="158" t="s">
        <v>176</v>
      </c>
      <c r="K81" s="158">
        <f t="shared" si="0"/>
        <v>1620</v>
      </c>
      <c r="L81" s="158"/>
      <c r="M81" s="18" t="s">
        <v>80</v>
      </c>
      <c r="N81" s="17" t="s">
        <v>88</v>
      </c>
      <c r="O81" s="10"/>
      <c r="P81" s="42">
        <v>8.0000000000000071E-3</v>
      </c>
      <c r="Q81" s="43">
        <v>2.1000000000000001E-2</v>
      </c>
      <c r="R81" s="43">
        <v>6.8000000000000005E-2</v>
      </c>
      <c r="S81" s="43">
        <v>0.11</v>
      </c>
    </row>
    <row r="82" spans="1:19" ht="14.25" customHeight="1">
      <c r="A82" s="159" t="s">
        <v>94</v>
      </c>
      <c r="B82" s="17" t="s">
        <v>89</v>
      </c>
      <c r="C82" s="158" t="s">
        <v>108</v>
      </c>
      <c r="D82" s="109">
        <v>-51.386765581912492</v>
      </c>
      <c r="E82" s="109">
        <v>-24.494251427999906</v>
      </c>
      <c r="F82" s="18">
        <v>2003</v>
      </c>
      <c r="G82" s="19" t="s">
        <v>90</v>
      </c>
      <c r="H82" s="18" t="s">
        <v>177</v>
      </c>
      <c r="I82" s="17" t="s">
        <v>91</v>
      </c>
      <c r="J82" s="158" t="s">
        <v>176</v>
      </c>
      <c r="K82" s="158">
        <f t="shared" si="0"/>
        <v>1620</v>
      </c>
      <c r="L82" s="158"/>
      <c r="M82" s="18" t="s">
        <v>80</v>
      </c>
      <c r="N82" s="17" t="s">
        <v>88</v>
      </c>
      <c r="O82" s="10"/>
      <c r="P82" s="42">
        <v>5.0000000000000044E-3</v>
      </c>
      <c r="Q82" s="4">
        <v>0.02</v>
      </c>
      <c r="R82" s="4">
        <v>5.7000000000000002E-2</v>
      </c>
      <c r="S82" s="4">
        <v>8.7999999999999995E-2</v>
      </c>
    </row>
    <row r="83" spans="1:19" ht="14.25" customHeight="1">
      <c r="A83" s="159" t="s">
        <v>94</v>
      </c>
      <c r="B83" s="17" t="s">
        <v>89</v>
      </c>
      <c r="C83" s="158" t="s">
        <v>109</v>
      </c>
      <c r="D83" s="109">
        <v>-47.805475915541528</v>
      </c>
      <c r="E83" s="109">
        <v>-21.184834500000004</v>
      </c>
      <c r="F83" s="18">
        <v>2003</v>
      </c>
      <c r="G83" s="19" t="s">
        <v>90</v>
      </c>
      <c r="H83" s="18" t="s">
        <v>177</v>
      </c>
      <c r="I83" s="17" t="s">
        <v>91</v>
      </c>
      <c r="J83" s="158" t="s">
        <v>176</v>
      </c>
      <c r="K83" s="158">
        <f t="shared" si="0"/>
        <v>1620</v>
      </c>
      <c r="L83" s="158"/>
      <c r="M83" s="18" t="s">
        <v>80</v>
      </c>
      <c r="N83" s="17" t="s">
        <v>88</v>
      </c>
      <c r="O83" s="10"/>
      <c r="P83" s="42">
        <v>9.000000000000008E-3</v>
      </c>
      <c r="Q83" s="43">
        <v>6.9599999999999995E-2</v>
      </c>
      <c r="R83" s="43">
        <v>0.127</v>
      </c>
      <c r="S83" s="43">
        <v>0.16300000000000001</v>
      </c>
    </row>
    <row r="84" spans="1:19" ht="14.25" customHeight="1">
      <c r="A84" s="159" t="s">
        <v>94</v>
      </c>
      <c r="B84" s="17" t="s">
        <v>89</v>
      </c>
      <c r="C84" s="158" t="s">
        <v>110</v>
      </c>
      <c r="D84" s="109">
        <v>-46.331370849190684</v>
      </c>
      <c r="E84" s="109">
        <v>-23.933737500000003</v>
      </c>
      <c r="F84" s="17">
        <v>2003</v>
      </c>
      <c r="G84" s="19" t="s">
        <v>90</v>
      </c>
      <c r="H84" s="18" t="s">
        <v>177</v>
      </c>
      <c r="I84" s="17" t="s">
        <v>91</v>
      </c>
      <c r="J84" s="158" t="s">
        <v>176</v>
      </c>
      <c r="K84" s="158">
        <f t="shared" si="0"/>
        <v>1620</v>
      </c>
      <c r="L84" s="158"/>
      <c r="M84" s="17" t="s">
        <v>80</v>
      </c>
      <c r="N84" s="17" t="s">
        <v>88</v>
      </c>
      <c r="O84" s="10"/>
      <c r="P84" s="42">
        <v>5.1000000000000045E-2</v>
      </c>
      <c r="Q84" s="43">
        <v>0.10199999999999999</v>
      </c>
      <c r="R84" s="43">
        <v>0.33600000000000002</v>
      </c>
      <c r="S84" s="43">
        <v>0.55200000000000005</v>
      </c>
    </row>
    <row r="85" spans="1:19" ht="14.25" customHeight="1" thickBot="1">
      <c r="A85" s="11" t="s">
        <v>94</v>
      </c>
      <c r="B85" s="21" t="s">
        <v>89</v>
      </c>
      <c r="C85" s="21" t="s">
        <v>181</v>
      </c>
      <c r="D85" s="110">
        <v>-34.888941944577716</v>
      </c>
      <c r="E85" s="110">
        <v>-8.0627624830524081</v>
      </c>
      <c r="F85" s="21">
        <v>2003</v>
      </c>
      <c r="G85" s="22" t="s">
        <v>90</v>
      </c>
      <c r="H85" s="21" t="s">
        <v>177</v>
      </c>
      <c r="I85" s="21" t="s">
        <v>91</v>
      </c>
      <c r="J85" s="11" t="s">
        <v>176</v>
      </c>
      <c r="K85" s="11">
        <f t="shared" si="0"/>
        <v>1620</v>
      </c>
      <c r="L85" s="11"/>
      <c r="M85" s="21" t="s">
        <v>80</v>
      </c>
      <c r="N85" s="21" t="s">
        <v>88</v>
      </c>
      <c r="O85" s="30"/>
      <c r="P85" s="44">
        <v>1.0100000000000012E-2</v>
      </c>
      <c r="Q85" s="106">
        <v>2.7720000000000002E-2</v>
      </c>
      <c r="R85" s="106">
        <v>9.3149999999999997E-2</v>
      </c>
      <c r="S85" s="106">
        <v>0.15390000000000001</v>
      </c>
    </row>
    <row r="86" spans="1:19" ht="14.25" customHeight="1">
      <c r="A86" s="159" t="s">
        <v>94</v>
      </c>
      <c r="B86" s="17" t="s">
        <v>89</v>
      </c>
      <c r="C86" s="20" t="s">
        <v>124</v>
      </c>
      <c r="D86" s="261"/>
      <c r="E86" s="262"/>
      <c r="F86" s="17">
        <v>2003</v>
      </c>
      <c r="G86" s="19" t="s">
        <v>90</v>
      </c>
      <c r="H86" s="17" t="s">
        <v>188</v>
      </c>
      <c r="I86" s="17" t="s">
        <v>91</v>
      </c>
      <c r="J86" s="17" t="s">
        <v>20</v>
      </c>
      <c r="K86" s="17">
        <v>600</v>
      </c>
      <c r="L86" s="158">
        <v>18.25</v>
      </c>
      <c r="M86" s="111" t="s">
        <v>50</v>
      </c>
      <c r="N86" s="18" t="s">
        <v>88</v>
      </c>
      <c r="O86" s="24">
        <v>99.25</v>
      </c>
      <c r="P86" s="18">
        <v>1.5</v>
      </c>
    </row>
    <row r="87" spans="1:19" ht="14.25" customHeight="1">
      <c r="A87" s="137" t="s">
        <v>7</v>
      </c>
      <c r="B87" s="17" t="s">
        <v>89</v>
      </c>
      <c r="C87" s="158" t="s">
        <v>100</v>
      </c>
      <c r="D87" s="109">
        <v>-50.439226072752582</v>
      </c>
      <c r="E87" s="109">
        <v>-21.205476000000004</v>
      </c>
      <c r="F87" s="17">
        <v>2003</v>
      </c>
      <c r="G87" s="19" t="s">
        <v>90</v>
      </c>
      <c r="H87" s="17" t="s">
        <v>188</v>
      </c>
      <c r="I87" s="17" t="s">
        <v>91</v>
      </c>
      <c r="J87" s="17" t="s">
        <v>20</v>
      </c>
      <c r="K87" s="18">
        <v>450</v>
      </c>
      <c r="L87" s="158">
        <v>36.5</v>
      </c>
      <c r="M87" s="111" t="s">
        <v>50</v>
      </c>
      <c r="N87" s="18" t="s">
        <v>88</v>
      </c>
      <c r="O87" s="18">
        <v>21.400000000000002</v>
      </c>
      <c r="P87" s="10">
        <v>3.1749015732774972</v>
      </c>
    </row>
    <row r="88" spans="1:19" ht="14.25" customHeight="1">
      <c r="A88" s="137" t="s">
        <v>7</v>
      </c>
      <c r="B88" s="17" t="s">
        <v>89</v>
      </c>
      <c r="C88" s="158" t="s">
        <v>101</v>
      </c>
      <c r="D88" s="109">
        <v>-48.567377839455055</v>
      </c>
      <c r="E88" s="109">
        <v>-20.558455515000002</v>
      </c>
      <c r="F88" s="17">
        <v>2003</v>
      </c>
      <c r="G88" s="19" t="s">
        <v>90</v>
      </c>
      <c r="H88" s="17" t="s">
        <v>188</v>
      </c>
      <c r="I88" s="17" t="s">
        <v>91</v>
      </c>
      <c r="J88" s="17" t="s">
        <v>20</v>
      </c>
      <c r="K88" s="17">
        <v>600</v>
      </c>
      <c r="L88" s="158">
        <v>36.5</v>
      </c>
      <c r="M88" s="111" t="s">
        <v>50</v>
      </c>
      <c r="N88" s="18" t="s">
        <v>88</v>
      </c>
      <c r="O88" s="18">
        <v>44.5</v>
      </c>
      <c r="P88" s="10">
        <v>15.839612789880105</v>
      </c>
    </row>
    <row r="89" spans="1:19" ht="14.25" customHeight="1">
      <c r="A89" s="159" t="s">
        <v>94</v>
      </c>
      <c r="B89" s="17" t="s">
        <v>89</v>
      </c>
      <c r="C89" s="158" t="s">
        <v>102</v>
      </c>
      <c r="D89" s="109">
        <v>-49.083000867090362</v>
      </c>
      <c r="E89" s="109">
        <v>-22.325122500000006</v>
      </c>
      <c r="F89" s="17">
        <v>2003</v>
      </c>
      <c r="G89" s="19" t="s">
        <v>90</v>
      </c>
      <c r="H89" s="17" t="s">
        <v>188</v>
      </c>
      <c r="I89" s="17" t="s">
        <v>91</v>
      </c>
      <c r="J89" s="17" t="s">
        <v>20</v>
      </c>
      <c r="K89" s="17">
        <v>600</v>
      </c>
      <c r="L89" s="158">
        <v>36.5</v>
      </c>
      <c r="M89" s="111" t="s">
        <v>50</v>
      </c>
      <c r="N89" s="18" t="s">
        <v>88</v>
      </c>
      <c r="O89" s="24">
        <v>59.15</v>
      </c>
      <c r="P89" s="10">
        <v>9.1361917668140027</v>
      </c>
    </row>
    <row r="90" spans="1:19" ht="14.25" customHeight="1">
      <c r="A90" s="159" t="s">
        <v>94</v>
      </c>
      <c r="B90" s="17" t="s">
        <v>89</v>
      </c>
      <c r="C90" s="158" t="s">
        <v>104</v>
      </c>
      <c r="D90" s="109">
        <v>-47.06015627297316</v>
      </c>
      <c r="E90" s="109">
        <v>-22.907342500000002</v>
      </c>
      <c r="F90" s="17">
        <v>2003</v>
      </c>
      <c r="G90" s="19" t="s">
        <v>90</v>
      </c>
      <c r="H90" s="17" t="s">
        <v>188</v>
      </c>
      <c r="I90" s="17" t="s">
        <v>91</v>
      </c>
      <c r="J90" s="17" t="s">
        <v>20</v>
      </c>
      <c r="K90" s="18">
        <v>750</v>
      </c>
      <c r="L90" s="158">
        <v>36.5</v>
      </c>
      <c r="M90" s="111" t="s">
        <v>50</v>
      </c>
      <c r="N90" s="18" t="s">
        <v>88</v>
      </c>
      <c r="O90" s="24">
        <v>48.42</v>
      </c>
      <c r="P90" s="10">
        <v>15.061440834130053</v>
      </c>
    </row>
    <row r="91" spans="1:19" ht="14.25" customHeight="1">
      <c r="A91" s="159" t="s">
        <v>94</v>
      </c>
      <c r="B91" s="17" t="s">
        <v>89</v>
      </c>
      <c r="C91" s="158" t="s">
        <v>105</v>
      </c>
      <c r="D91" s="109">
        <v>-46.570383182112749</v>
      </c>
      <c r="E91" s="109">
        <v>-23.567386500000001</v>
      </c>
      <c r="F91" s="17">
        <v>2003</v>
      </c>
      <c r="G91" s="19" t="s">
        <v>90</v>
      </c>
      <c r="H91" s="17" t="s">
        <v>188</v>
      </c>
      <c r="I91" s="17" t="s">
        <v>91</v>
      </c>
      <c r="J91" s="17" t="s">
        <v>20</v>
      </c>
      <c r="K91" s="17">
        <v>600</v>
      </c>
      <c r="L91" s="158">
        <v>36.5</v>
      </c>
      <c r="M91" s="111" t="s">
        <v>50</v>
      </c>
      <c r="N91" s="18" t="s">
        <v>88</v>
      </c>
      <c r="O91" s="24">
        <v>52.64</v>
      </c>
      <c r="P91" s="10">
        <v>17.10578849395726</v>
      </c>
    </row>
    <row r="92" spans="1:19" ht="14.25" customHeight="1">
      <c r="A92" s="159" t="s">
        <v>94</v>
      </c>
      <c r="B92" s="17" t="s">
        <v>89</v>
      </c>
      <c r="C92" s="158" t="s">
        <v>106</v>
      </c>
      <c r="D92" s="109">
        <v>-46.933372863488053</v>
      </c>
      <c r="E92" s="109">
        <v>-23.546934000000004</v>
      </c>
      <c r="F92" s="17">
        <v>2003</v>
      </c>
      <c r="G92" s="19" t="s">
        <v>90</v>
      </c>
      <c r="H92" s="17" t="s">
        <v>188</v>
      </c>
      <c r="I92" s="17" t="s">
        <v>91</v>
      </c>
      <c r="J92" s="17" t="s">
        <v>20</v>
      </c>
      <c r="K92" s="17">
        <v>600</v>
      </c>
      <c r="L92" s="158">
        <v>36.5</v>
      </c>
      <c r="M92" s="111" t="s">
        <v>50</v>
      </c>
      <c r="N92" s="18" t="s">
        <v>88</v>
      </c>
      <c r="O92" s="24">
        <v>52.424999999999997</v>
      </c>
      <c r="P92" s="10">
        <v>17.136389156801194</v>
      </c>
    </row>
    <row r="93" spans="1:19" ht="14.25" customHeight="1">
      <c r="A93" s="159" t="s">
        <v>94</v>
      </c>
      <c r="B93" s="17" t="s">
        <v>89</v>
      </c>
      <c r="C93" s="158" t="s">
        <v>107</v>
      </c>
      <c r="D93" s="109">
        <v>-49.951645643103269</v>
      </c>
      <c r="E93" s="109">
        <v>-22.122743500000002</v>
      </c>
      <c r="F93" s="17">
        <v>2003</v>
      </c>
      <c r="G93" s="19" t="s">
        <v>90</v>
      </c>
      <c r="H93" s="17" t="s">
        <v>188</v>
      </c>
      <c r="I93" s="17" t="s">
        <v>91</v>
      </c>
      <c r="J93" s="17" t="s">
        <v>20</v>
      </c>
      <c r="K93" s="18">
        <v>750</v>
      </c>
      <c r="L93" s="158">
        <v>36.5</v>
      </c>
      <c r="M93" s="111" t="s">
        <v>50</v>
      </c>
      <c r="N93" s="18" t="s">
        <v>88</v>
      </c>
      <c r="O93" s="24">
        <v>50.339999999999996</v>
      </c>
      <c r="P93" s="10">
        <v>6.0516939777223122</v>
      </c>
    </row>
    <row r="94" spans="1:19" ht="14.25" customHeight="1">
      <c r="A94" s="159" t="s">
        <v>94</v>
      </c>
      <c r="B94" s="17" t="s">
        <v>89</v>
      </c>
      <c r="C94" s="158" t="s">
        <v>95</v>
      </c>
      <c r="D94" s="109">
        <v>-46.570383182112749</v>
      </c>
      <c r="E94" s="109">
        <v>-23.567386500000001</v>
      </c>
      <c r="F94" s="17">
        <v>2003</v>
      </c>
      <c r="G94" s="19" t="s">
        <v>90</v>
      </c>
      <c r="H94" s="17" t="s">
        <v>188</v>
      </c>
      <c r="I94" s="17" t="s">
        <v>91</v>
      </c>
      <c r="J94" s="17" t="s">
        <v>20</v>
      </c>
      <c r="K94" s="17">
        <v>600</v>
      </c>
      <c r="L94" s="158">
        <v>36.5</v>
      </c>
      <c r="M94" s="111" t="s">
        <v>50</v>
      </c>
      <c r="N94" s="18" t="s">
        <v>88</v>
      </c>
      <c r="O94" s="24">
        <v>50.15</v>
      </c>
      <c r="P94" s="10">
        <v>17.624509449438104</v>
      </c>
    </row>
    <row r="95" spans="1:19" ht="14.25" customHeight="1">
      <c r="A95" s="159" t="s">
        <v>94</v>
      </c>
      <c r="B95" s="17" t="s">
        <v>89</v>
      </c>
      <c r="C95" s="158" t="s">
        <v>108</v>
      </c>
      <c r="D95" s="109">
        <v>-51.386765581912492</v>
      </c>
      <c r="E95" s="109">
        <v>-24.494251427999906</v>
      </c>
      <c r="F95" s="17">
        <v>2003</v>
      </c>
      <c r="G95" s="19" t="s">
        <v>90</v>
      </c>
      <c r="H95" s="17" t="s">
        <v>188</v>
      </c>
      <c r="I95" s="17" t="s">
        <v>91</v>
      </c>
      <c r="J95" s="17" t="s">
        <v>20</v>
      </c>
      <c r="K95" s="18">
        <v>750</v>
      </c>
      <c r="L95" s="158">
        <v>36.5</v>
      </c>
      <c r="M95" s="111" t="s">
        <v>50</v>
      </c>
      <c r="N95" s="18" t="s">
        <v>88</v>
      </c>
      <c r="O95" s="24">
        <v>43.279999999999994</v>
      </c>
      <c r="P95" s="10">
        <v>17.798511173690912</v>
      </c>
    </row>
    <row r="96" spans="1:19" ht="14.25" customHeight="1">
      <c r="A96" s="137" t="s">
        <v>7</v>
      </c>
      <c r="B96" s="17" t="s">
        <v>89</v>
      </c>
      <c r="C96" s="158" t="s">
        <v>109</v>
      </c>
      <c r="D96" s="109">
        <v>-47.805475915541528</v>
      </c>
      <c r="E96" s="109">
        <v>-21.184834500000004</v>
      </c>
      <c r="F96" s="17">
        <v>2003</v>
      </c>
      <c r="G96" s="19" t="s">
        <v>90</v>
      </c>
      <c r="H96" s="17" t="s">
        <v>188</v>
      </c>
      <c r="I96" s="17" t="s">
        <v>91</v>
      </c>
      <c r="J96" s="17" t="s">
        <v>20</v>
      </c>
      <c r="K96" s="17">
        <v>600</v>
      </c>
      <c r="L96" s="158">
        <v>36.5</v>
      </c>
      <c r="M96" s="111" t="s">
        <v>50</v>
      </c>
      <c r="N96" s="18" t="s">
        <v>88</v>
      </c>
      <c r="O96" s="24">
        <v>32.75</v>
      </c>
      <c r="P96" s="10">
        <v>21.757221023528405</v>
      </c>
    </row>
    <row r="97" spans="1:16" ht="14.25" customHeight="1">
      <c r="A97" s="137" t="s">
        <v>7</v>
      </c>
      <c r="B97" s="17" t="s">
        <v>89</v>
      </c>
      <c r="C97" s="158" t="s">
        <v>110</v>
      </c>
      <c r="D97" s="109">
        <v>-46.331370849190684</v>
      </c>
      <c r="E97" s="109">
        <v>-23.933737500000003</v>
      </c>
      <c r="F97" s="17">
        <v>2003</v>
      </c>
      <c r="G97" s="19" t="s">
        <v>90</v>
      </c>
      <c r="H97" s="17" t="s">
        <v>188</v>
      </c>
      <c r="I97" s="17" t="s">
        <v>91</v>
      </c>
      <c r="J97" s="17" t="s">
        <v>20</v>
      </c>
      <c r="K97" s="17">
        <v>600</v>
      </c>
      <c r="L97" s="158">
        <v>36.5</v>
      </c>
      <c r="M97" s="111" t="s">
        <v>50</v>
      </c>
      <c r="N97" s="18" t="s">
        <v>88</v>
      </c>
      <c r="O97" s="24">
        <v>15.9</v>
      </c>
      <c r="P97" s="10">
        <v>3.6313450217056831</v>
      </c>
    </row>
    <row r="98" spans="1:16" ht="14.25" customHeight="1">
      <c r="A98" s="137" t="s">
        <v>7</v>
      </c>
      <c r="B98" s="17" t="s">
        <v>89</v>
      </c>
      <c r="C98" s="158" t="s">
        <v>112</v>
      </c>
      <c r="D98" s="109">
        <v>-49.381347685025794</v>
      </c>
      <c r="E98" s="109">
        <v>-20.812636500000004</v>
      </c>
      <c r="F98" s="17">
        <v>2003</v>
      </c>
      <c r="G98" s="19" t="s">
        <v>90</v>
      </c>
      <c r="H98" s="17" t="s">
        <v>188</v>
      </c>
      <c r="I98" s="17" t="s">
        <v>91</v>
      </c>
      <c r="J98" s="17" t="s">
        <v>20</v>
      </c>
      <c r="K98" s="18">
        <v>600</v>
      </c>
      <c r="L98" s="158">
        <v>36.5</v>
      </c>
      <c r="M98" s="111" t="s">
        <v>50</v>
      </c>
      <c r="N98" s="18" t="s">
        <v>88</v>
      </c>
      <c r="O98" s="24">
        <v>31.8</v>
      </c>
      <c r="P98" s="10">
        <v>13.565642877013483</v>
      </c>
    </row>
    <row r="99" spans="1:16" ht="14.25" customHeight="1">
      <c r="A99" s="159" t="s">
        <v>94</v>
      </c>
      <c r="B99" s="17" t="s">
        <v>89</v>
      </c>
      <c r="C99" s="158" t="s">
        <v>127</v>
      </c>
      <c r="D99" s="109">
        <v>-46.922092505649722</v>
      </c>
      <c r="E99" s="109">
        <v>-23.933737500000003</v>
      </c>
      <c r="F99" s="17">
        <v>2003</v>
      </c>
      <c r="G99" s="19" t="s">
        <v>90</v>
      </c>
      <c r="H99" s="17" t="s">
        <v>188</v>
      </c>
      <c r="I99" s="17" t="s">
        <v>91</v>
      </c>
      <c r="J99" s="17" t="s">
        <v>20</v>
      </c>
      <c r="K99" s="18">
        <v>600</v>
      </c>
      <c r="L99" s="158">
        <v>36.5</v>
      </c>
      <c r="M99" s="111" t="s">
        <v>50</v>
      </c>
      <c r="N99" s="18" t="s">
        <v>88</v>
      </c>
      <c r="O99" s="24">
        <v>83</v>
      </c>
      <c r="P99" s="10">
        <v>10.085963844207789</v>
      </c>
    </row>
    <row r="100" spans="1:16" ht="14.25" customHeight="1">
      <c r="A100" s="159" t="s">
        <v>94</v>
      </c>
      <c r="B100" s="17" t="s">
        <v>89</v>
      </c>
      <c r="C100" s="158" t="s">
        <v>113</v>
      </c>
      <c r="D100" s="109">
        <v>-45.402680140543957</v>
      </c>
      <c r="E100" s="109">
        <v>-23.806687652148753</v>
      </c>
      <c r="F100" s="17">
        <v>2003</v>
      </c>
      <c r="G100" s="19" t="s">
        <v>90</v>
      </c>
      <c r="H100" s="17" t="s">
        <v>188</v>
      </c>
      <c r="I100" s="17" t="s">
        <v>91</v>
      </c>
      <c r="J100" s="17" t="s">
        <v>20</v>
      </c>
      <c r="K100" s="18">
        <v>750</v>
      </c>
      <c r="L100" s="158">
        <v>36.5</v>
      </c>
      <c r="M100" s="111" t="s">
        <v>50</v>
      </c>
      <c r="N100" s="18" t="s">
        <v>88</v>
      </c>
      <c r="O100" s="24">
        <v>30.380000000000003</v>
      </c>
      <c r="P100" s="10">
        <v>23.507062768453221</v>
      </c>
    </row>
    <row r="101" spans="1:16" ht="14.25" customHeight="1">
      <c r="A101" s="159" t="s">
        <v>94</v>
      </c>
      <c r="B101" s="17" t="s">
        <v>89</v>
      </c>
      <c r="C101" s="158" t="s">
        <v>114</v>
      </c>
      <c r="D101" s="109">
        <v>-47.457853253204043</v>
      </c>
      <c r="E101" s="109">
        <v>-23.499323</v>
      </c>
      <c r="F101" s="17">
        <v>2003</v>
      </c>
      <c r="G101" s="19" t="s">
        <v>90</v>
      </c>
      <c r="H101" s="17" t="s">
        <v>188</v>
      </c>
      <c r="I101" s="17" t="s">
        <v>91</v>
      </c>
      <c r="J101" s="17" t="s">
        <v>20</v>
      </c>
      <c r="K101" s="18">
        <v>600</v>
      </c>
      <c r="L101" s="158">
        <v>36.5</v>
      </c>
      <c r="M101" s="111" t="s">
        <v>50</v>
      </c>
      <c r="N101" s="18" t="s">
        <v>88</v>
      </c>
      <c r="O101" s="18">
        <v>44.3</v>
      </c>
      <c r="P101" s="10">
        <v>3.5411862419251534</v>
      </c>
    </row>
    <row r="102" spans="1:16" ht="14.25" customHeight="1">
      <c r="A102" s="159" t="s">
        <v>94</v>
      </c>
      <c r="B102" s="17" t="s">
        <v>89</v>
      </c>
      <c r="C102" s="17" t="s">
        <v>115</v>
      </c>
      <c r="D102" s="109">
        <v>-60.670532672965052</v>
      </c>
      <c r="E102" s="109">
        <v>2.8166819191043904</v>
      </c>
      <c r="F102" s="17">
        <v>2003</v>
      </c>
      <c r="G102" s="19" t="s">
        <v>90</v>
      </c>
      <c r="H102" s="17" t="s">
        <v>188</v>
      </c>
      <c r="I102" s="17" t="s">
        <v>91</v>
      </c>
      <c r="J102" s="17" t="s">
        <v>20</v>
      </c>
      <c r="K102" s="18">
        <v>750</v>
      </c>
      <c r="L102" s="158">
        <v>36.5</v>
      </c>
      <c r="M102" s="111" t="s">
        <v>50</v>
      </c>
      <c r="N102" s="18" t="s">
        <v>88</v>
      </c>
      <c r="O102" s="24">
        <v>54.760000000000005</v>
      </c>
      <c r="P102" s="10">
        <v>25.174352027410766</v>
      </c>
    </row>
    <row r="103" spans="1:16" ht="14.25" customHeight="1">
      <c r="A103" s="159" t="s">
        <v>94</v>
      </c>
      <c r="B103" s="17" t="s">
        <v>89</v>
      </c>
      <c r="C103" s="158" t="s">
        <v>116</v>
      </c>
      <c r="D103" s="109">
        <v>-38.589927555043182</v>
      </c>
      <c r="E103" s="109">
        <v>-3.7238050350000007</v>
      </c>
      <c r="F103" s="17">
        <v>2003</v>
      </c>
      <c r="G103" s="19" t="s">
        <v>90</v>
      </c>
      <c r="H103" s="17" t="s">
        <v>188</v>
      </c>
      <c r="I103" s="17" t="s">
        <v>91</v>
      </c>
      <c r="J103" s="17" t="s">
        <v>20</v>
      </c>
      <c r="K103" s="18">
        <v>600</v>
      </c>
      <c r="L103" s="158">
        <v>36.5</v>
      </c>
      <c r="M103" s="111" t="s">
        <v>50</v>
      </c>
      <c r="N103" s="18" t="s">
        <v>88</v>
      </c>
      <c r="O103" s="24">
        <v>24.35</v>
      </c>
      <c r="P103" s="10">
        <v>11.127892882302564</v>
      </c>
    </row>
    <row r="104" spans="1:16" ht="14.25" customHeight="1">
      <c r="A104" s="159" t="s">
        <v>94</v>
      </c>
      <c r="B104" s="17" t="s">
        <v>89</v>
      </c>
      <c r="C104" s="158" t="s">
        <v>146</v>
      </c>
      <c r="D104" s="109">
        <v>-54.58710248860465</v>
      </c>
      <c r="E104" s="109">
        <v>-25.542493279529253</v>
      </c>
      <c r="F104" s="17">
        <v>2003</v>
      </c>
      <c r="G104" s="19" t="s">
        <v>90</v>
      </c>
      <c r="H104" s="17" t="s">
        <v>188</v>
      </c>
      <c r="I104" s="17" t="s">
        <v>91</v>
      </c>
      <c r="J104" s="17" t="s">
        <v>20</v>
      </c>
      <c r="K104" s="18">
        <v>600</v>
      </c>
      <c r="L104" s="158">
        <v>36.5</v>
      </c>
      <c r="M104" s="111" t="s">
        <v>50</v>
      </c>
      <c r="N104" s="18" t="s">
        <v>88</v>
      </c>
      <c r="O104" s="24">
        <v>30.575000000000003</v>
      </c>
      <c r="P104" s="10">
        <v>13.139349298956922</v>
      </c>
    </row>
    <row r="105" spans="1:16" ht="14.25" customHeight="1">
      <c r="A105" s="159" t="s">
        <v>94</v>
      </c>
      <c r="B105" s="17" t="s">
        <v>89</v>
      </c>
      <c r="C105" s="18" t="s">
        <v>30</v>
      </c>
      <c r="D105" s="109">
        <v>-34.921173467260282</v>
      </c>
      <c r="E105" s="109">
        <v>-8.1653914673574501</v>
      </c>
      <c r="F105" s="17">
        <v>2003</v>
      </c>
      <c r="G105" s="19" t="s">
        <v>90</v>
      </c>
      <c r="H105" s="17" t="s">
        <v>188</v>
      </c>
      <c r="I105" s="17" t="s">
        <v>91</v>
      </c>
      <c r="J105" s="17" t="s">
        <v>20</v>
      </c>
      <c r="K105" s="18">
        <v>600</v>
      </c>
      <c r="L105" s="158">
        <v>36.5</v>
      </c>
      <c r="M105" s="111" t="s">
        <v>50</v>
      </c>
      <c r="N105" s="18" t="s">
        <v>88</v>
      </c>
      <c r="O105" s="24">
        <v>43.2</v>
      </c>
      <c r="P105" s="10">
        <v>10.31471440871406</v>
      </c>
    </row>
    <row r="106" spans="1:16" ht="14.25" customHeight="1">
      <c r="A106" s="159" t="s">
        <v>94</v>
      </c>
      <c r="B106" s="17" t="s">
        <v>89</v>
      </c>
      <c r="C106" s="61" t="s">
        <v>119</v>
      </c>
      <c r="D106" s="109">
        <v>-60.023335181061036</v>
      </c>
      <c r="E106" s="109">
        <v>-3.1346914912019459</v>
      </c>
      <c r="F106" s="17">
        <v>2003</v>
      </c>
      <c r="G106" s="19" t="s">
        <v>90</v>
      </c>
      <c r="H106" s="17" t="s">
        <v>188</v>
      </c>
      <c r="I106" s="17" t="s">
        <v>91</v>
      </c>
      <c r="J106" s="17" t="s">
        <v>20</v>
      </c>
      <c r="K106" s="18">
        <v>750</v>
      </c>
      <c r="L106" s="158">
        <v>36.5</v>
      </c>
      <c r="M106" s="111" t="s">
        <v>50</v>
      </c>
      <c r="N106" s="18" t="s">
        <v>88</v>
      </c>
      <c r="O106" s="24">
        <v>58.8</v>
      </c>
      <c r="P106" s="10">
        <v>29.945617375502543</v>
      </c>
    </row>
    <row r="107" spans="1:16" ht="14.25" customHeight="1">
      <c r="A107" s="159" t="s">
        <v>94</v>
      </c>
      <c r="B107" s="17" t="s">
        <v>89</v>
      </c>
      <c r="C107" s="158" t="s">
        <v>138</v>
      </c>
      <c r="D107" s="127">
        <v>-51.939881870252066</v>
      </c>
      <c r="E107" s="127">
        <v>-23.422280000000004</v>
      </c>
      <c r="F107" s="17">
        <v>2003</v>
      </c>
      <c r="G107" s="19" t="s">
        <v>90</v>
      </c>
      <c r="H107" s="17" t="s">
        <v>188</v>
      </c>
      <c r="I107" s="17" t="s">
        <v>91</v>
      </c>
      <c r="J107" s="17" t="s">
        <v>20</v>
      </c>
      <c r="K107" s="18">
        <v>750</v>
      </c>
      <c r="L107" s="158">
        <v>36.5</v>
      </c>
      <c r="M107" s="111" t="s">
        <v>50</v>
      </c>
      <c r="N107" s="18" t="s">
        <v>88</v>
      </c>
      <c r="O107" s="24">
        <v>35.700000000000003</v>
      </c>
      <c r="P107" s="10">
        <v>11.677542549697689</v>
      </c>
    </row>
    <row r="108" spans="1:16" ht="14.25" customHeight="1">
      <c r="A108" s="159" t="s">
        <v>94</v>
      </c>
      <c r="B108" s="17" t="s">
        <v>89</v>
      </c>
      <c r="C108" s="17" t="s">
        <v>181</v>
      </c>
      <c r="D108" s="127">
        <v>-34.888941944577716</v>
      </c>
      <c r="E108" s="127">
        <v>-8.0627624830524081</v>
      </c>
      <c r="F108" s="17">
        <v>2003</v>
      </c>
      <c r="G108" s="19" t="s">
        <v>90</v>
      </c>
      <c r="H108" s="17" t="s">
        <v>188</v>
      </c>
      <c r="I108" s="17" t="s">
        <v>91</v>
      </c>
      <c r="J108" s="17" t="s">
        <v>20</v>
      </c>
      <c r="K108" s="18">
        <v>600</v>
      </c>
      <c r="L108" s="158">
        <v>36.5</v>
      </c>
      <c r="M108" s="111" t="s">
        <v>50</v>
      </c>
      <c r="N108" s="18" t="s">
        <v>88</v>
      </c>
      <c r="O108" s="24">
        <v>54.125</v>
      </c>
      <c r="P108" s="10">
        <v>8.5500000000000149</v>
      </c>
    </row>
    <row r="109" spans="1:16" ht="14.25" customHeight="1" thickBot="1">
      <c r="A109" s="11" t="s">
        <v>94</v>
      </c>
      <c r="B109" s="21" t="s">
        <v>89</v>
      </c>
      <c r="C109" s="21" t="s">
        <v>31</v>
      </c>
      <c r="D109" s="110">
        <v>-35.038488971813102</v>
      </c>
      <c r="E109" s="110">
        <v>-8.2898642302978818</v>
      </c>
      <c r="F109" s="21">
        <v>2003</v>
      </c>
      <c r="G109" s="22" t="s">
        <v>90</v>
      </c>
      <c r="H109" s="21" t="s">
        <v>188</v>
      </c>
      <c r="I109" s="21" t="s">
        <v>91</v>
      </c>
      <c r="J109" s="21" t="s">
        <v>20</v>
      </c>
      <c r="K109" s="21">
        <v>600</v>
      </c>
      <c r="L109" s="11">
        <v>36.5</v>
      </c>
      <c r="M109" s="114" t="s">
        <v>50</v>
      </c>
      <c r="N109" s="21" t="s">
        <v>88</v>
      </c>
      <c r="O109" s="25">
        <v>75.525000000000006</v>
      </c>
      <c r="P109" s="30">
        <f>STDEV(81,77.5,68.6,75)</f>
        <v>5.2315548995174339</v>
      </c>
    </row>
    <row r="110" spans="1:16" ht="14.25" customHeight="1">
      <c r="A110" s="159" t="s">
        <v>94</v>
      </c>
      <c r="B110" s="17" t="s">
        <v>89</v>
      </c>
      <c r="C110" s="20" t="s">
        <v>124</v>
      </c>
      <c r="D110" s="261"/>
      <c r="E110" s="262"/>
      <c r="F110" s="17">
        <v>2003</v>
      </c>
      <c r="G110" s="19" t="s">
        <v>90</v>
      </c>
      <c r="H110" s="17" t="s">
        <v>188</v>
      </c>
      <c r="I110" s="17" t="s">
        <v>91</v>
      </c>
      <c r="J110" s="158" t="s">
        <v>93</v>
      </c>
      <c r="K110" s="18">
        <v>600</v>
      </c>
      <c r="L110" s="10">
        <v>146</v>
      </c>
      <c r="M110" s="111" t="s">
        <v>50</v>
      </c>
      <c r="N110" s="17" t="s">
        <v>88</v>
      </c>
      <c r="O110" s="18">
        <v>100</v>
      </c>
      <c r="P110" s="24">
        <v>0</v>
      </c>
    </row>
    <row r="111" spans="1:16" ht="14.25" customHeight="1">
      <c r="A111" s="159" t="s">
        <v>94</v>
      </c>
      <c r="B111" s="17" t="s">
        <v>89</v>
      </c>
      <c r="C111" s="158" t="s">
        <v>100</v>
      </c>
      <c r="D111" s="109">
        <v>-50.439226072752582</v>
      </c>
      <c r="E111" s="109">
        <v>-21.205476000000004</v>
      </c>
      <c r="F111" s="17">
        <v>2003</v>
      </c>
      <c r="G111" s="19" t="s">
        <v>90</v>
      </c>
      <c r="H111" s="17" t="s">
        <v>188</v>
      </c>
      <c r="I111" s="17" t="s">
        <v>91</v>
      </c>
      <c r="J111" s="158" t="s">
        <v>93</v>
      </c>
      <c r="K111" s="18">
        <v>750</v>
      </c>
      <c r="L111" s="10">
        <v>292</v>
      </c>
      <c r="M111" s="111" t="s">
        <v>50</v>
      </c>
      <c r="N111" s="17" t="s">
        <v>88</v>
      </c>
      <c r="O111" s="18">
        <v>100</v>
      </c>
      <c r="P111" s="24">
        <v>0</v>
      </c>
    </row>
    <row r="112" spans="1:16" ht="14.25" customHeight="1">
      <c r="A112" s="159" t="s">
        <v>94</v>
      </c>
      <c r="B112" s="17" t="s">
        <v>89</v>
      </c>
      <c r="C112" s="158" t="s">
        <v>101</v>
      </c>
      <c r="D112" s="109">
        <v>-48.567377839455055</v>
      </c>
      <c r="E112" s="109">
        <v>-20.558455515000002</v>
      </c>
      <c r="F112" s="17">
        <v>2003</v>
      </c>
      <c r="G112" s="19" t="s">
        <v>90</v>
      </c>
      <c r="H112" s="17" t="s">
        <v>188</v>
      </c>
      <c r="I112" s="17" t="s">
        <v>91</v>
      </c>
      <c r="J112" s="158" t="s">
        <v>93</v>
      </c>
      <c r="K112" s="18">
        <v>600</v>
      </c>
      <c r="L112" s="10">
        <v>292</v>
      </c>
      <c r="M112" s="111" t="s">
        <v>50</v>
      </c>
      <c r="N112" s="17" t="s">
        <v>88</v>
      </c>
      <c r="O112" s="18">
        <v>100</v>
      </c>
      <c r="P112" s="24">
        <v>0</v>
      </c>
    </row>
    <row r="113" spans="1:16" ht="14.25" customHeight="1">
      <c r="A113" s="159" t="s">
        <v>94</v>
      </c>
      <c r="B113" s="17" t="s">
        <v>89</v>
      </c>
      <c r="C113" s="158" t="s">
        <v>102</v>
      </c>
      <c r="D113" s="109">
        <v>-49.083000867090362</v>
      </c>
      <c r="E113" s="109">
        <v>-22.325122500000006</v>
      </c>
      <c r="F113" s="17">
        <v>2003</v>
      </c>
      <c r="G113" s="19" t="s">
        <v>90</v>
      </c>
      <c r="H113" s="17" t="s">
        <v>188</v>
      </c>
      <c r="I113" s="17" t="s">
        <v>91</v>
      </c>
      <c r="J113" s="158" t="s">
        <v>93</v>
      </c>
      <c r="K113" s="18">
        <v>600</v>
      </c>
      <c r="L113" s="10">
        <v>292</v>
      </c>
      <c r="M113" s="111" t="s">
        <v>50</v>
      </c>
      <c r="N113" s="17" t="s">
        <v>88</v>
      </c>
      <c r="O113" s="24">
        <v>99.724999999999994</v>
      </c>
      <c r="P113" s="18">
        <v>0.5</v>
      </c>
    </row>
    <row r="114" spans="1:16" ht="14.25" customHeight="1">
      <c r="A114" s="159" t="s">
        <v>94</v>
      </c>
      <c r="B114" s="17" t="s">
        <v>89</v>
      </c>
      <c r="C114" s="158" t="s">
        <v>104</v>
      </c>
      <c r="D114" s="109">
        <v>-47.06015627297316</v>
      </c>
      <c r="E114" s="109">
        <v>-22.907342500000002</v>
      </c>
      <c r="F114" s="17">
        <v>2003</v>
      </c>
      <c r="G114" s="19" t="s">
        <v>90</v>
      </c>
      <c r="H114" s="17" t="s">
        <v>188</v>
      </c>
      <c r="I114" s="17" t="s">
        <v>91</v>
      </c>
      <c r="J114" s="158" t="s">
        <v>93</v>
      </c>
      <c r="K114" s="18">
        <v>750</v>
      </c>
      <c r="L114" s="10">
        <v>292</v>
      </c>
      <c r="M114" s="111" t="s">
        <v>50</v>
      </c>
      <c r="N114" s="17" t="s">
        <v>88</v>
      </c>
      <c r="O114" s="18">
        <v>100</v>
      </c>
      <c r="P114" s="24">
        <v>0</v>
      </c>
    </row>
    <row r="115" spans="1:16" ht="14.25" customHeight="1">
      <c r="A115" s="159" t="s">
        <v>94</v>
      </c>
      <c r="B115" s="17" t="s">
        <v>89</v>
      </c>
      <c r="C115" s="158" t="s">
        <v>105</v>
      </c>
      <c r="D115" s="109">
        <v>-46.570383182112749</v>
      </c>
      <c r="E115" s="109">
        <v>-23.567386500000001</v>
      </c>
      <c r="F115" s="17">
        <v>2003</v>
      </c>
      <c r="G115" s="19" t="s">
        <v>90</v>
      </c>
      <c r="H115" s="17" t="s">
        <v>188</v>
      </c>
      <c r="I115" s="17" t="s">
        <v>91</v>
      </c>
      <c r="J115" s="158" t="s">
        <v>93</v>
      </c>
      <c r="K115" s="18">
        <v>600</v>
      </c>
      <c r="L115" s="10">
        <v>292</v>
      </c>
      <c r="M115" s="111" t="s">
        <v>50</v>
      </c>
      <c r="N115" s="17" t="s">
        <v>88</v>
      </c>
      <c r="O115" s="18">
        <v>100</v>
      </c>
      <c r="P115" s="24">
        <v>0</v>
      </c>
    </row>
    <row r="116" spans="1:16" ht="14.25" customHeight="1">
      <c r="A116" s="159" t="s">
        <v>94</v>
      </c>
      <c r="B116" s="17" t="s">
        <v>89</v>
      </c>
      <c r="C116" s="158" t="s">
        <v>125</v>
      </c>
      <c r="D116" s="109">
        <v>-47.299749835960981</v>
      </c>
      <c r="E116" s="109">
        <v>-23.265442500000002</v>
      </c>
      <c r="F116" s="17">
        <v>2003</v>
      </c>
      <c r="G116" s="19" t="s">
        <v>90</v>
      </c>
      <c r="H116" s="17" t="s">
        <v>188</v>
      </c>
      <c r="I116" s="17" t="s">
        <v>91</v>
      </c>
      <c r="J116" s="158" t="s">
        <v>93</v>
      </c>
      <c r="K116" s="18">
        <v>600</v>
      </c>
      <c r="L116" s="10">
        <v>292</v>
      </c>
      <c r="M116" s="111" t="s">
        <v>50</v>
      </c>
      <c r="N116" s="17" t="s">
        <v>88</v>
      </c>
      <c r="O116" s="18">
        <v>100</v>
      </c>
      <c r="P116" s="24">
        <v>0</v>
      </c>
    </row>
    <row r="117" spans="1:16" ht="14.25" customHeight="1">
      <c r="A117" s="159" t="s">
        <v>94</v>
      </c>
      <c r="B117" s="17" t="s">
        <v>89</v>
      </c>
      <c r="C117" s="158" t="s">
        <v>107</v>
      </c>
      <c r="D117" s="109">
        <v>-49.951645643103269</v>
      </c>
      <c r="E117" s="109">
        <v>-22.122743500000002</v>
      </c>
      <c r="F117" s="17">
        <v>2003</v>
      </c>
      <c r="G117" s="19" t="s">
        <v>90</v>
      </c>
      <c r="H117" s="17" t="s">
        <v>188</v>
      </c>
      <c r="I117" s="17" t="s">
        <v>91</v>
      </c>
      <c r="J117" s="158" t="s">
        <v>93</v>
      </c>
      <c r="K117" s="18">
        <v>600</v>
      </c>
      <c r="L117" s="10">
        <v>292</v>
      </c>
      <c r="M117" s="111" t="s">
        <v>50</v>
      </c>
      <c r="N117" s="17" t="s">
        <v>88</v>
      </c>
      <c r="O117" s="18">
        <v>100</v>
      </c>
      <c r="P117" s="24">
        <v>0</v>
      </c>
    </row>
    <row r="118" spans="1:16" ht="14.25" customHeight="1">
      <c r="A118" s="159" t="s">
        <v>94</v>
      </c>
      <c r="B118" s="17" t="s">
        <v>89</v>
      </c>
      <c r="C118" s="158" t="s">
        <v>95</v>
      </c>
      <c r="D118" s="109">
        <v>-46.570383182112749</v>
      </c>
      <c r="E118" s="109">
        <v>-23.567386500000001</v>
      </c>
      <c r="F118" s="17">
        <v>2003</v>
      </c>
      <c r="G118" s="19" t="s">
        <v>90</v>
      </c>
      <c r="H118" s="17" t="s">
        <v>188</v>
      </c>
      <c r="I118" s="17" t="s">
        <v>91</v>
      </c>
      <c r="J118" s="158" t="s">
        <v>93</v>
      </c>
      <c r="K118" s="18">
        <v>600</v>
      </c>
      <c r="L118" s="10">
        <v>292</v>
      </c>
      <c r="M118" s="111" t="s">
        <v>50</v>
      </c>
      <c r="N118" s="17" t="s">
        <v>88</v>
      </c>
      <c r="O118" s="51">
        <v>99.5</v>
      </c>
      <c r="P118" s="24">
        <v>0</v>
      </c>
    </row>
    <row r="119" spans="1:16" ht="14.25" customHeight="1">
      <c r="A119" s="159" t="s">
        <v>94</v>
      </c>
      <c r="B119" s="17" t="s">
        <v>89</v>
      </c>
      <c r="C119" s="158" t="s">
        <v>108</v>
      </c>
      <c r="D119" s="109">
        <v>-51.386765581912492</v>
      </c>
      <c r="E119" s="109">
        <v>-24.494251427999906</v>
      </c>
      <c r="F119" s="17">
        <v>2003</v>
      </c>
      <c r="G119" s="19" t="s">
        <v>90</v>
      </c>
      <c r="H119" s="17" t="s">
        <v>188</v>
      </c>
      <c r="I119" s="17" t="s">
        <v>91</v>
      </c>
      <c r="J119" s="158" t="s">
        <v>93</v>
      </c>
      <c r="K119" s="18">
        <v>600</v>
      </c>
      <c r="L119" s="10">
        <v>292</v>
      </c>
      <c r="M119" s="111" t="s">
        <v>50</v>
      </c>
      <c r="N119" s="17" t="s">
        <v>88</v>
      </c>
      <c r="O119" s="18">
        <v>100</v>
      </c>
      <c r="P119" s="24">
        <v>0</v>
      </c>
    </row>
    <row r="120" spans="1:16" ht="14.25" customHeight="1">
      <c r="A120" s="159" t="s">
        <v>94</v>
      </c>
      <c r="B120" s="17" t="s">
        <v>89</v>
      </c>
      <c r="C120" s="158" t="s">
        <v>109</v>
      </c>
      <c r="D120" s="109">
        <v>-47.805475915541528</v>
      </c>
      <c r="E120" s="109">
        <v>-21.184834500000004</v>
      </c>
      <c r="F120" s="17">
        <v>2003</v>
      </c>
      <c r="G120" s="19" t="s">
        <v>90</v>
      </c>
      <c r="H120" s="17" t="s">
        <v>188</v>
      </c>
      <c r="I120" s="17" t="s">
        <v>91</v>
      </c>
      <c r="J120" s="158" t="s">
        <v>93</v>
      </c>
      <c r="K120" s="18">
        <v>600</v>
      </c>
      <c r="L120" s="10">
        <v>292</v>
      </c>
      <c r="M120" s="111" t="s">
        <v>50</v>
      </c>
      <c r="N120" s="17" t="s">
        <v>88</v>
      </c>
      <c r="O120" s="51">
        <v>99.724999999999994</v>
      </c>
      <c r="P120" s="24">
        <v>0</v>
      </c>
    </row>
    <row r="121" spans="1:16" ht="14.25" customHeight="1">
      <c r="A121" s="159" t="s">
        <v>94</v>
      </c>
      <c r="B121" s="17" t="s">
        <v>89</v>
      </c>
      <c r="C121" s="158" t="s">
        <v>110</v>
      </c>
      <c r="D121" s="109">
        <v>-46.331370849190684</v>
      </c>
      <c r="E121" s="109">
        <v>-23.933737500000003</v>
      </c>
      <c r="F121" s="17">
        <v>2003</v>
      </c>
      <c r="G121" s="19" t="s">
        <v>90</v>
      </c>
      <c r="H121" s="17" t="s">
        <v>188</v>
      </c>
      <c r="I121" s="17" t="s">
        <v>91</v>
      </c>
      <c r="J121" s="158" t="s">
        <v>93</v>
      </c>
      <c r="K121" s="18">
        <v>600</v>
      </c>
      <c r="L121" s="10">
        <v>292</v>
      </c>
      <c r="M121" s="111" t="s">
        <v>50</v>
      </c>
      <c r="N121" s="17" t="s">
        <v>88</v>
      </c>
      <c r="O121" s="51">
        <v>99.724999999999994</v>
      </c>
      <c r="P121" s="24">
        <v>0</v>
      </c>
    </row>
    <row r="122" spans="1:16" ht="14.25" customHeight="1">
      <c r="A122" s="159" t="s">
        <v>94</v>
      </c>
      <c r="B122" s="17" t="s">
        <v>89</v>
      </c>
      <c r="C122" s="158" t="s">
        <v>112</v>
      </c>
      <c r="D122" s="109">
        <v>-49.381347685025794</v>
      </c>
      <c r="E122" s="109">
        <v>-20.812636500000004</v>
      </c>
      <c r="F122" s="17">
        <v>2003</v>
      </c>
      <c r="G122" s="19" t="s">
        <v>90</v>
      </c>
      <c r="H122" s="17" t="s">
        <v>188</v>
      </c>
      <c r="I122" s="17" t="s">
        <v>91</v>
      </c>
      <c r="J122" s="158" t="s">
        <v>93</v>
      </c>
      <c r="K122" s="18">
        <v>600</v>
      </c>
      <c r="L122" s="10">
        <v>292</v>
      </c>
      <c r="M122" s="111" t="s">
        <v>50</v>
      </c>
      <c r="N122" s="17" t="s">
        <v>88</v>
      </c>
      <c r="O122" s="18">
        <v>100</v>
      </c>
      <c r="P122" s="24">
        <v>0</v>
      </c>
    </row>
    <row r="123" spans="1:16" ht="14.25" customHeight="1">
      <c r="A123" s="159" t="s">
        <v>94</v>
      </c>
      <c r="B123" s="17" t="s">
        <v>89</v>
      </c>
      <c r="C123" s="158" t="s">
        <v>127</v>
      </c>
      <c r="D123" s="109">
        <v>-46.922092505649722</v>
      </c>
      <c r="E123" s="109">
        <v>-23.933737500000003</v>
      </c>
      <c r="F123" s="17">
        <v>2003</v>
      </c>
      <c r="G123" s="19" t="s">
        <v>90</v>
      </c>
      <c r="H123" s="17" t="s">
        <v>188</v>
      </c>
      <c r="I123" s="17" t="s">
        <v>91</v>
      </c>
      <c r="J123" s="158" t="s">
        <v>93</v>
      </c>
      <c r="K123" s="18">
        <v>600</v>
      </c>
      <c r="L123" s="10">
        <v>292</v>
      </c>
      <c r="M123" s="111" t="s">
        <v>50</v>
      </c>
      <c r="N123" s="17" t="s">
        <v>88</v>
      </c>
      <c r="O123" s="18">
        <v>100</v>
      </c>
      <c r="P123" s="24">
        <v>0</v>
      </c>
    </row>
    <row r="124" spans="1:16" ht="14.25" customHeight="1">
      <c r="A124" s="159" t="s">
        <v>94</v>
      </c>
      <c r="B124" s="17" t="s">
        <v>89</v>
      </c>
      <c r="C124" s="158" t="s">
        <v>113</v>
      </c>
      <c r="D124" s="109">
        <v>-45.402680140543957</v>
      </c>
      <c r="E124" s="109">
        <v>-23.806687652148753</v>
      </c>
      <c r="F124" s="17">
        <v>2003</v>
      </c>
      <c r="G124" s="19" t="s">
        <v>90</v>
      </c>
      <c r="H124" s="17" t="s">
        <v>188</v>
      </c>
      <c r="I124" s="17" t="s">
        <v>91</v>
      </c>
      <c r="J124" s="158" t="s">
        <v>93</v>
      </c>
      <c r="K124" s="18">
        <v>750</v>
      </c>
      <c r="L124" s="10">
        <v>292</v>
      </c>
      <c r="M124" s="111" t="s">
        <v>50</v>
      </c>
      <c r="N124" s="17" t="s">
        <v>88</v>
      </c>
      <c r="O124" s="24">
        <v>97.559999999999988</v>
      </c>
      <c r="P124" s="18">
        <v>0.4</v>
      </c>
    </row>
    <row r="125" spans="1:16" ht="14.25" customHeight="1">
      <c r="A125" s="159" t="s">
        <v>94</v>
      </c>
      <c r="B125" s="17" t="s">
        <v>89</v>
      </c>
      <c r="C125" s="158" t="s">
        <v>114</v>
      </c>
      <c r="D125" s="109">
        <v>-47.457853253204043</v>
      </c>
      <c r="E125" s="109">
        <v>-23.499323</v>
      </c>
      <c r="F125" s="17">
        <v>2003</v>
      </c>
      <c r="G125" s="19" t="s">
        <v>90</v>
      </c>
      <c r="H125" s="17" t="s">
        <v>188</v>
      </c>
      <c r="I125" s="17" t="s">
        <v>91</v>
      </c>
      <c r="J125" s="158" t="s">
        <v>93</v>
      </c>
      <c r="K125" s="18">
        <v>600</v>
      </c>
      <c r="L125" s="10">
        <v>292</v>
      </c>
      <c r="M125" s="111" t="s">
        <v>50</v>
      </c>
      <c r="N125" s="17" t="s">
        <v>88</v>
      </c>
      <c r="O125" s="18">
        <v>99.5</v>
      </c>
      <c r="P125" s="18">
        <v>0.5</v>
      </c>
    </row>
    <row r="126" spans="1:16" ht="14.25" customHeight="1">
      <c r="A126" s="159" t="s">
        <v>94</v>
      </c>
      <c r="B126" s="17" t="s">
        <v>89</v>
      </c>
      <c r="C126" s="17" t="s">
        <v>115</v>
      </c>
      <c r="D126" s="109">
        <v>-60.670532672965052</v>
      </c>
      <c r="E126" s="109">
        <v>2.8166819191043904</v>
      </c>
      <c r="F126" s="17">
        <v>2003</v>
      </c>
      <c r="G126" s="19" t="s">
        <v>90</v>
      </c>
      <c r="H126" s="17" t="s">
        <v>188</v>
      </c>
      <c r="I126" s="17" t="s">
        <v>91</v>
      </c>
      <c r="J126" s="158" t="s">
        <v>93</v>
      </c>
      <c r="K126" s="18">
        <v>750</v>
      </c>
      <c r="L126" s="10">
        <v>292</v>
      </c>
      <c r="M126" s="111" t="s">
        <v>50</v>
      </c>
      <c r="N126" s="17" t="s">
        <v>88</v>
      </c>
      <c r="O126" s="51">
        <v>100</v>
      </c>
      <c r="P126" s="24">
        <v>0</v>
      </c>
    </row>
    <row r="127" spans="1:16" ht="14.25" customHeight="1">
      <c r="A127" s="159" t="s">
        <v>94</v>
      </c>
      <c r="B127" s="17" t="s">
        <v>89</v>
      </c>
      <c r="C127" s="158" t="s">
        <v>116</v>
      </c>
      <c r="D127" s="109">
        <v>-38.589927555043182</v>
      </c>
      <c r="E127" s="109">
        <v>-3.7238050350000007</v>
      </c>
      <c r="F127" s="17">
        <v>2003</v>
      </c>
      <c r="G127" s="19" t="s">
        <v>90</v>
      </c>
      <c r="H127" s="17" t="s">
        <v>188</v>
      </c>
      <c r="I127" s="17" t="s">
        <v>91</v>
      </c>
      <c r="J127" s="158" t="s">
        <v>93</v>
      </c>
      <c r="K127" s="18">
        <v>600</v>
      </c>
      <c r="L127" s="10">
        <v>292</v>
      </c>
      <c r="M127" s="111" t="s">
        <v>50</v>
      </c>
      <c r="N127" s="17" t="s">
        <v>88</v>
      </c>
      <c r="O127" s="24">
        <v>98.95</v>
      </c>
      <c r="P127" s="18">
        <v>0.5</v>
      </c>
    </row>
    <row r="128" spans="1:16" ht="14.25" customHeight="1">
      <c r="A128" s="159" t="s">
        <v>94</v>
      </c>
      <c r="B128" s="17" t="s">
        <v>89</v>
      </c>
      <c r="C128" s="158" t="s">
        <v>146</v>
      </c>
      <c r="D128" s="109">
        <v>-54.58710248860465</v>
      </c>
      <c r="E128" s="109">
        <v>-25.542493279529253</v>
      </c>
      <c r="F128" s="17">
        <v>2003</v>
      </c>
      <c r="G128" s="19" t="s">
        <v>90</v>
      </c>
      <c r="H128" s="17" t="s">
        <v>188</v>
      </c>
      <c r="I128" s="17" t="s">
        <v>91</v>
      </c>
      <c r="J128" s="158" t="s">
        <v>93</v>
      </c>
      <c r="K128" s="18">
        <v>750</v>
      </c>
      <c r="L128" s="10">
        <v>292</v>
      </c>
      <c r="M128" s="111" t="s">
        <v>50</v>
      </c>
      <c r="N128" s="17" t="s">
        <v>88</v>
      </c>
      <c r="O128" s="51">
        <v>100</v>
      </c>
      <c r="P128" s="24">
        <v>0</v>
      </c>
    </row>
    <row r="129" spans="1:16" ht="14.25" customHeight="1">
      <c r="A129" s="159" t="s">
        <v>94</v>
      </c>
      <c r="B129" s="17" t="s">
        <v>89</v>
      </c>
      <c r="C129" s="18" t="s">
        <v>30</v>
      </c>
      <c r="D129" s="109">
        <v>-34.921173467260282</v>
      </c>
      <c r="E129" s="109">
        <v>-8.1653914673574501</v>
      </c>
      <c r="F129" s="17">
        <v>2003</v>
      </c>
      <c r="G129" s="19" t="s">
        <v>90</v>
      </c>
      <c r="H129" s="17" t="s">
        <v>188</v>
      </c>
      <c r="I129" s="17" t="s">
        <v>91</v>
      </c>
      <c r="J129" s="158" t="s">
        <v>93</v>
      </c>
      <c r="K129" s="18">
        <v>600</v>
      </c>
      <c r="L129" s="10">
        <v>292</v>
      </c>
      <c r="M129" s="111" t="s">
        <v>50</v>
      </c>
      <c r="N129" s="17" t="s">
        <v>88</v>
      </c>
      <c r="O129" s="18">
        <v>100</v>
      </c>
      <c r="P129" s="24">
        <v>0</v>
      </c>
    </row>
    <row r="130" spans="1:16" ht="14.25" customHeight="1">
      <c r="A130" s="159" t="s">
        <v>94</v>
      </c>
      <c r="B130" s="17" t="s">
        <v>89</v>
      </c>
      <c r="C130" s="61" t="s">
        <v>119</v>
      </c>
      <c r="D130" s="109">
        <v>-60.023335181061036</v>
      </c>
      <c r="E130" s="109">
        <v>-3.1346914912019459</v>
      </c>
      <c r="F130" s="17">
        <v>2003</v>
      </c>
      <c r="G130" s="19" t="s">
        <v>90</v>
      </c>
      <c r="H130" s="17" t="s">
        <v>188</v>
      </c>
      <c r="I130" s="17" t="s">
        <v>91</v>
      </c>
      <c r="J130" s="158" t="s">
        <v>93</v>
      </c>
      <c r="K130" s="18">
        <v>900</v>
      </c>
      <c r="L130" s="10">
        <v>292</v>
      </c>
      <c r="M130" s="111" t="s">
        <v>50</v>
      </c>
      <c r="N130" s="17" t="s">
        <v>88</v>
      </c>
      <c r="O130" s="24">
        <v>98.183333333333337</v>
      </c>
      <c r="P130" s="18">
        <v>0.6</v>
      </c>
    </row>
    <row r="131" spans="1:16" ht="14.25" customHeight="1">
      <c r="A131" s="159" t="s">
        <v>94</v>
      </c>
      <c r="B131" s="17" t="s">
        <v>89</v>
      </c>
      <c r="C131" s="158" t="s">
        <v>138</v>
      </c>
      <c r="D131" s="109">
        <v>-51.939881870252066</v>
      </c>
      <c r="E131" s="109">
        <v>-23.422280000000004</v>
      </c>
      <c r="F131" s="17">
        <v>2003</v>
      </c>
      <c r="G131" s="19" t="s">
        <v>90</v>
      </c>
      <c r="H131" s="17" t="s">
        <v>188</v>
      </c>
      <c r="I131" s="17" t="s">
        <v>91</v>
      </c>
      <c r="J131" s="158" t="s">
        <v>93</v>
      </c>
      <c r="K131" s="18">
        <v>600</v>
      </c>
      <c r="L131" s="10">
        <v>292</v>
      </c>
      <c r="M131" s="111" t="s">
        <v>50</v>
      </c>
      <c r="N131" s="17" t="s">
        <v>88</v>
      </c>
      <c r="O131" s="18">
        <v>100</v>
      </c>
      <c r="P131" s="24">
        <v>0</v>
      </c>
    </row>
    <row r="132" spans="1:16" ht="14.25" customHeight="1">
      <c r="A132" s="159" t="s">
        <v>94</v>
      </c>
      <c r="B132" s="17" t="s">
        <v>89</v>
      </c>
      <c r="C132" s="17" t="s">
        <v>181</v>
      </c>
      <c r="D132" s="127">
        <v>-34.888941944577716</v>
      </c>
      <c r="E132" s="127">
        <v>-8.0627624830524081</v>
      </c>
      <c r="F132" s="17">
        <v>2003</v>
      </c>
      <c r="G132" s="19" t="s">
        <v>90</v>
      </c>
      <c r="H132" s="17" t="s">
        <v>188</v>
      </c>
      <c r="I132" s="17" t="s">
        <v>91</v>
      </c>
      <c r="J132" s="158" t="s">
        <v>93</v>
      </c>
      <c r="K132" s="17">
        <v>600</v>
      </c>
      <c r="L132" s="10">
        <v>292</v>
      </c>
      <c r="M132" s="111" t="s">
        <v>50</v>
      </c>
      <c r="N132" s="17" t="s">
        <v>88</v>
      </c>
      <c r="O132" s="18">
        <v>100</v>
      </c>
      <c r="P132" s="24">
        <v>0</v>
      </c>
    </row>
    <row r="133" spans="1:16" ht="14.25" customHeight="1" thickBot="1">
      <c r="A133" s="11" t="s">
        <v>94</v>
      </c>
      <c r="B133" s="21" t="s">
        <v>89</v>
      </c>
      <c r="C133" s="21" t="s">
        <v>31</v>
      </c>
      <c r="D133" s="110">
        <v>-35.038488971813102</v>
      </c>
      <c r="E133" s="110">
        <v>-8.2898642302978818</v>
      </c>
      <c r="F133" s="21">
        <v>2003</v>
      </c>
      <c r="G133" s="22" t="s">
        <v>90</v>
      </c>
      <c r="H133" s="21" t="s">
        <v>188</v>
      </c>
      <c r="I133" s="21" t="s">
        <v>91</v>
      </c>
      <c r="J133" s="11" t="s">
        <v>93</v>
      </c>
      <c r="K133" s="21">
        <v>600</v>
      </c>
      <c r="L133" s="30">
        <v>292</v>
      </c>
      <c r="M133" s="114" t="s">
        <v>50</v>
      </c>
      <c r="N133" s="21" t="s">
        <v>88</v>
      </c>
      <c r="O133" s="21">
        <v>100</v>
      </c>
      <c r="P133" s="30">
        <v>0</v>
      </c>
    </row>
    <row r="134" spans="1:16" ht="14.25" customHeight="1">
      <c r="A134" s="159" t="s">
        <v>94</v>
      </c>
      <c r="B134" s="17" t="s">
        <v>89</v>
      </c>
      <c r="C134" s="20" t="s">
        <v>124</v>
      </c>
      <c r="D134" s="261"/>
      <c r="E134" s="262"/>
      <c r="F134" s="17">
        <v>2003</v>
      </c>
      <c r="G134" s="19" t="s">
        <v>90</v>
      </c>
      <c r="H134" s="17" t="s">
        <v>188</v>
      </c>
      <c r="I134" s="17" t="s">
        <v>91</v>
      </c>
      <c r="J134" s="158" t="s">
        <v>176</v>
      </c>
      <c r="K134" s="18">
        <v>600</v>
      </c>
      <c r="L134" s="10">
        <v>40</v>
      </c>
      <c r="M134" s="111" t="s">
        <v>50</v>
      </c>
      <c r="N134" s="17" t="s">
        <v>88</v>
      </c>
      <c r="O134" s="18">
        <v>100</v>
      </c>
      <c r="P134" s="24">
        <v>0</v>
      </c>
    </row>
    <row r="135" spans="1:16" ht="14.25" customHeight="1">
      <c r="A135" s="159" t="s">
        <v>94</v>
      </c>
      <c r="B135" s="17" t="s">
        <v>89</v>
      </c>
      <c r="C135" s="158" t="s">
        <v>101</v>
      </c>
      <c r="D135" s="109">
        <v>-48.567377839455055</v>
      </c>
      <c r="E135" s="109">
        <v>-20.558455515000002</v>
      </c>
      <c r="F135" s="17">
        <v>2003</v>
      </c>
      <c r="G135" s="19" t="s">
        <v>90</v>
      </c>
      <c r="H135" s="17" t="s">
        <v>188</v>
      </c>
      <c r="I135" s="17" t="s">
        <v>91</v>
      </c>
      <c r="J135" s="158" t="s">
        <v>176</v>
      </c>
      <c r="K135" s="18">
        <v>150</v>
      </c>
      <c r="L135" s="10">
        <v>80</v>
      </c>
      <c r="M135" s="111" t="s">
        <v>50</v>
      </c>
      <c r="N135" s="17" t="s">
        <v>88</v>
      </c>
      <c r="O135" s="18">
        <v>87.8</v>
      </c>
    </row>
    <row r="136" spans="1:16" ht="14.25" customHeight="1">
      <c r="A136" s="159" t="s">
        <v>94</v>
      </c>
      <c r="B136" s="17" t="s">
        <v>89</v>
      </c>
      <c r="C136" s="158" t="s">
        <v>102</v>
      </c>
      <c r="D136" s="109">
        <v>-49.083000867090362</v>
      </c>
      <c r="E136" s="109">
        <v>-22.325122500000006</v>
      </c>
      <c r="F136" s="17">
        <v>2003</v>
      </c>
      <c r="G136" s="19" t="s">
        <v>90</v>
      </c>
      <c r="H136" s="17" t="s">
        <v>188</v>
      </c>
      <c r="I136" s="17" t="s">
        <v>91</v>
      </c>
      <c r="J136" s="158" t="s">
        <v>176</v>
      </c>
      <c r="K136" s="18">
        <v>150</v>
      </c>
      <c r="L136" s="10">
        <v>80</v>
      </c>
      <c r="M136" s="111" t="s">
        <v>50</v>
      </c>
      <c r="N136" s="17" t="s">
        <v>88</v>
      </c>
      <c r="O136" s="24">
        <v>99</v>
      </c>
    </row>
    <row r="137" spans="1:16" ht="14.25" customHeight="1">
      <c r="A137" s="159" t="s">
        <v>94</v>
      </c>
      <c r="B137" s="17" t="s">
        <v>89</v>
      </c>
      <c r="C137" s="158" t="s">
        <v>107</v>
      </c>
      <c r="D137" s="109">
        <v>-49.951645643103269</v>
      </c>
      <c r="E137" s="109">
        <v>-22.122743500000002</v>
      </c>
      <c r="F137" s="17">
        <v>2003</v>
      </c>
      <c r="G137" s="19" t="s">
        <v>90</v>
      </c>
      <c r="H137" s="17" t="s">
        <v>188</v>
      </c>
      <c r="I137" s="17" t="s">
        <v>91</v>
      </c>
      <c r="J137" s="158" t="s">
        <v>176</v>
      </c>
      <c r="K137" s="18">
        <v>450</v>
      </c>
      <c r="L137" s="10">
        <v>80</v>
      </c>
      <c r="M137" s="111" t="s">
        <v>50</v>
      </c>
      <c r="N137" s="17" t="s">
        <v>88</v>
      </c>
      <c r="O137" s="24">
        <v>83.933333333333337</v>
      </c>
      <c r="P137" s="28">
        <f>STDEV(85.6,87,79.2)</f>
        <v>4.1585253796668198</v>
      </c>
    </row>
    <row r="138" spans="1:16" ht="14.25" customHeight="1">
      <c r="A138" s="159" t="s">
        <v>94</v>
      </c>
      <c r="B138" s="17" t="s">
        <v>89</v>
      </c>
      <c r="C138" s="158" t="s">
        <v>110</v>
      </c>
      <c r="D138" s="109">
        <v>-46.331370849190684</v>
      </c>
      <c r="E138" s="109">
        <v>-23.933737500000003</v>
      </c>
      <c r="F138" s="17">
        <v>2003</v>
      </c>
      <c r="G138" s="19" t="s">
        <v>90</v>
      </c>
      <c r="H138" s="17" t="s">
        <v>188</v>
      </c>
      <c r="I138" s="17" t="s">
        <v>91</v>
      </c>
      <c r="J138" s="158" t="s">
        <v>176</v>
      </c>
      <c r="K138" s="18">
        <v>150</v>
      </c>
      <c r="L138" s="10">
        <v>80</v>
      </c>
      <c r="M138" s="111" t="s">
        <v>50</v>
      </c>
      <c r="N138" s="17" t="s">
        <v>88</v>
      </c>
      <c r="O138" s="18">
        <v>25.3</v>
      </c>
    </row>
    <row r="139" spans="1:16" ht="14.25" customHeight="1">
      <c r="A139" s="159" t="s">
        <v>94</v>
      </c>
      <c r="B139" s="17" t="s">
        <v>89</v>
      </c>
      <c r="C139" s="158" t="s">
        <v>112</v>
      </c>
      <c r="D139" s="109">
        <v>-49.381347685025794</v>
      </c>
      <c r="E139" s="109">
        <v>-20.812636500000004</v>
      </c>
      <c r="F139" s="17">
        <v>2003</v>
      </c>
      <c r="G139" s="19" t="s">
        <v>90</v>
      </c>
      <c r="H139" s="17" t="s">
        <v>188</v>
      </c>
      <c r="I139" s="17" t="s">
        <v>91</v>
      </c>
      <c r="J139" s="158" t="s">
        <v>176</v>
      </c>
      <c r="K139" s="18">
        <v>300</v>
      </c>
      <c r="L139" s="10">
        <v>80</v>
      </c>
      <c r="M139" s="111" t="s">
        <v>50</v>
      </c>
      <c r="N139" s="17" t="s">
        <v>88</v>
      </c>
      <c r="O139" s="24">
        <v>69.05</v>
      </c>
      <c r="P139" s="28">
        <f>STDEV(86.6,51.5)</f>
        <v>24.819448019647801</v>
      </c>
    </row>
    <row r="140" spans="1:16" ht="14.25" customHeight="1">
      <c r="A140" s="159" t="s">
        <v>94</v>
      </c>
      <c r="B140" s="17" t="s">
        <v>89</v>
      </c>
      <c r="C140" s="158" t="s">
        <v>127</v>
      </c>
      <c r="D140" s="109">
        <v>-46.922092505649722</v>
      </c>
      <c r="E140" s="109">
        <v>-23.933737500000003</v>
      </c>
      <c r="F140" s="17">
        <v>2003</v>
      </c>
      <c r="G140" s="19" t="s">
        <v>90</v>
      </c>
      <c r="H140" s="17" t="s">
        <v>188</v>
      </c>
      <c r="I140" s="17" t="s">
        <v>91</v>
      </c>
      <c r="J140" s="158" t="s">
        <v>176</v>
      </c>
      <c r="K140" s="18">
        <v>300</v>
      </c>
      <c r="L140" s="10">
        <v>80</v>
      </c>
      <c r="M140" s="111" t="s">
        <v>50</v>
      </c>
      <c r="N140" s="17" t="s">
        <v>88</v>
      </c>
      <c r="O140" s="18">
        <v>91.4</v>
      </c>
      <c r="P140" s="28">
        <f>STDEV(96.9,85.9)</f>
        <v>7.7781745930520225</v>
      </c>
    </row>
    <row r="141" spans="1:16" ht="14.25" customHeight="1" thickBot="1">
      <c r="A141" s="11" t="s">
        <v>94</v>
      </c>
      <c r="B141" s="21" t="s">
        <v>89</v>
      </c>
      <c r="C141" s="21" t="s">
        <v>181</v>
      </c>
      <c r="D141" s="110">
        <v>-34.888941944577716</v>
      </c>
      <c r="E141" s="110">
        <v>-8.0627624830524081</v>
      </c>
      <c r="F141" s="21">
        <v>2003</v>
      </c>
      <c r="G141" s="22" t="s">
        <v>90</v>
      </c>
      <c r="H141" s="21" t="s">
        <v>188</v>
      </c>
      <c r="I141" s="21" t="s">
        <v>91</v>
      </c>
      <c r="J141" s="11" t="s">
        <v>176</v>
      </c>
      <c r="K141" s="21">
        <v>750</v>
      </c>
      <c r="L141" s="30">
        <v>80</v>
      </c>
      <c r="M141" s="114" t="s">
        <v>50</v>
      </c>
      <c r="N141" s="21" t="s">
        <v>88</v>
      </c>
      <c r="O141" s="25">
        <v>70.34</v>
      </c>
      <c r="P141" s="30">
        <f>STDEV(68.4,50,86.3,79.3,67.7)</f>
        <v>13.779078343633884</v>
      </c>
    </row>
    <row r="143" spans="1:16" ht="14.25" customHeight="1">
      <c r="C143" s="2"/>
      <c r="D143" s="2"/>
      <c r="E143" s="2"/>
    </row>
    <row r="144" spans="1:16" ht="14.25" customHeight="1">
      <c r="C144" s="2"/>
      <c r="D144" s="2"/>
      <c r="E144" s="2"/>
    </row>
    <row r="145" spans="3:5" ht="14.25" customHeight="1">
      <c r="C145" s="2"/>
      <c r="D145" s="2"/>
      <c r="E145" s="2"/>
    </row>
    <row r="146" spans="3:5" ht="14.25" customHeight="1">
      <c r="C146" s="2"/>
      <c r="D146" s="2"/>
      <c r="E146" s="2"/>
    </row>
    <row r="147" spans="3:5" ht="14.25" customHeight="1">
      <c r="C147" s="2"/>
      <c r="D147" s="2"/>
      <c r="E147" s="2"/>
    </row>
    <row r="148" spans="3:5" ht="14.25" customHeight="1">
      <c r="C148" s="2"/>
      <c r="D148" s="2"/>
      <c r="E148" s="2"/>
    </row>
    <row r="149" spans="3:5" ht="14.25" customHeight="1">
      <c r="C149" s="2"/>
      <c r="D149" s="2"/>
      <c r="E149" s="2"/>
    </row>
    <row r="150" spans="3:5" ht="14.25" customHeight="1">
      <c r="C150" s="2"/>
      <c r="D150" s="2"/>
      <c r="E150" s="2"/>
    </row>
    <row r="151" spans="3:5" ht="14.25" customHeight="1">
      <c r="C151" s="2"/>
      <c r="D151" s="2"/>
      <c r="E151" s="2"/>
    </row>
    <row r="152" spans="3:5" ht="14.25" customHeight="1">
      <c r="C152" s="2"/>
      <c r="D152" s="2"/>
      <c r="E152" s="2"/>
    </row>
    <row r="153" spans="3:5" ht="14.25" customHeight="1">
      <c r="C153" s="2"/>
      <c r="D153" s="2"/>
      <c r="E153" s="2"/>
    </row>
    <row r="154" spans="3:5" ht="14.25" customHeight="1">
      <c r="C154" s="2"/>
      <c r="D154" s="2"/>
      <c r="E154" s="2"/>
    </row>
    <row r="155" spans="3:5" ht="14.25" customHeight="1">
      <c r="C155" s="2"/>
      <c r="D155" s="2"/>
      <c r="E155" s="2"/>
    </row>
    <row r="156" spans="3:5" ht="14.25" customHeight="1">
      <c r="C156" s="2"/>
      <c r="D156" s="2"/>
      <c r="E156" s="2"/>
    </row>
    <row r="157" spans="3:5" ht="14.25" customHeight="1">
      <c r="C157" s="2"/>
      <c r="D157" s="2"/>
      <c r="E157" s="2"/>
    </row>
    <row r="158" spans="3:5" ht="14.25" customHeight="1">
      <c r="C158" s="2"/>
      <c r="D158" s="2"/>
      <c r="E158" s="2"/>
    </row>
    <row r="159" spans="3:5" ht="14.25" customHeight="1">
      <c r="C159" s="2"/>
      <c r="D159" s="2"/>
      <c r="E159" s="2"/>
    </row>
    <row r="160" spans="3:5" ht="14.25" customHeight="1">
      <c r="C160" s="2"/>
      <c r="D160" s="2"/>
      <c r="E160" s="2"/>
    </row>
    <row r="161" spans="3:3" ht="14.25" customHeight="1">
      <c r="C161" s="2"/>
    </row>
    <row r="162" spans="3:3" ht="14.25" customHeight="1">
      <c r="C162" s="2"/>
    </row>
    <row r="163" spans="3:3" ht="14.25" customHeight="1">
      <c r="C163" s="2"/>
    </row>
    <row r="164" spans="3:3" ht="14.25" customHeight="1">
      <c r="C164" s="2"/>
    </row>
    <row r="165" spans="3:3" ht="14.25" customHeight="1">
      <c r="C165" s="2"/>
    </row>
    <row r="166" spans="3:3" ht="14.25" customHeight="1">
      <c r="C166" s="2"/>
    </row>
    <row r="167" spans="3:3" ht="14.25" customHeight="1">
      <c r="C167" s="2"/>
    </row>
    <row r="168" spans="3:3" ht="14.25" customHeight="1">
      <c r="C168" s="2"/>
    </row>
    <row r="169" spans="3:3" ht="14.25" customHeight="1">
      <c r="C169" s="2"/>
    </row>
    <row r="170" spans="3:3" ht="14.25" customHeight="1">
      <c r="C170" s="2"/>
    </row>
  </sheetData>
  <phoneticPr fontId="48" type="noConversion"/>
  <conditionalFormatting sqref="D103">
    <cfRule type="cellIs" dxfId="251" priority="40" stopIfTrue="1" operator="between">
      <formula>0</formula>
      <formula>79.9</formula>
    </cfRule>
    <cfRule type="cellIs" dxfId="250" priority="41" stopIfTrue="1" operator="between">
      <formula>80</formula>
      <formula>97.9</formula>
    </cfRule>
    <cfRule type="cellIs" dxfId="249" priority="42" stopIfTrue="1" operator="between">
      <formula>98</formula>
      <formula>100</formula>
    </cfRule>
  </conditionalFormatting>
  <conditionalFormatting sqref="D127">
    <cfRule type="cellIs" dxfId="248" priority="34" stopIfTrue="1" operator="between">
      <formula>0</formula>
      <formula>79.9</formula>
    </cfRule>
    <cfRule type="cellIs" dxfId="247" priority="35" stopIfTrue="1" operator="between">
      <formula>80</formula>
      <formula>97.9</formula>
    </cfRule>
    <cfRule type="cellIs" dxfId="246" priority="36" stopIfTrue="1" operator="between">
      <formula>98</formula>
      <formula>100</formula>
    </cfRule>
  </conditionalFormatting>
  <conditionalFormatting sqref="D135">
    <cfRule type="cellIs" dxfId="245" priority="31" stopIfTrue="1" operator="between">
      <formula>0</formula>
      <formula>79.9</formula>
    </cfRule>
    <cfRule type="cellIs" dxfId="244" priority="32" stopIfTrue="1" operator="between">
      <formula>80</formula>
      <formula>97.9</formula>
    </cfRule>
    <cfRule type="cellIs" dxfId="243" priority="33" stopIfTrue="1" operator="between">
      <formula>98</formula>
      <formula>100</formula>
    </cfRule>
  </conditionalFormatting>
  <conditionalFormatting sqref="D3:D4">
    <cfRule type="cellIs" dxfId="242" priority="28" stopIfTrue="1" operator="between">
      <formula>0</formula>
      <formula>79.9</formula>
    </cfRule>
    <cfRule type="cellIs" dxfId="241" priority="29" stopIfTrue="1" operator="between">
      <formula>80</formula>
      <formula>97.9</formula>
    </cfRule>
    <cfRule type="cellIs" dxfId="240" priority="30" stopIfTrue="1" operator="between">
      <formula>98</formula>
      <formula>100</formula>
    </cfRule>
  </conditionalFormatting>
  <conditionalFormatting sqref="D20">
    <cfRule type="cellIs" dxfId="239" priority="25" stopIfTrue="1" operator="between">
      <formula>0</formula>
      <formula>79.9</formula>
    </cfRule>
    <cfRule type="cellIs" dxfId="238" priority="26" stopIfTrue="1" operator="between">
      <formula>80</formula>
      <formula>97.9</formula>
    </cfRule>
    <cfRule type="cellIs" dxfId="237" priority="27" stopIfTrue="1" operator="between">
      <formula>98</formula>
      <formula>100</formula>
    </cfRule>
  </conditionalFormatting>
  <conditionalFormatting sqref="D28:D29">
    <cfRule type="cellIs" dxfId="236" priority="22" stopIfTrue="1" operator="between">
      <formula>0</formula>
      <formula>79.9</formula>
    </cfRule>
    <cfRule type="cellIs" dxfId="235" priority="23" stopIfTrue="1" operator="between">
      <formula>80</formula>
      <formula>97.9</formula>
    </cfRule>
    <cfRule type="cellIs" dxfId="234" priority="24" stopIfTrue="1" operator="between">
      <formula>98</formula>
      <formula>100</formula>
    </cfRule>
  </conditionalFormatting>
  <conditionalFormatting sqref="D45">
    <cfRule type="cellIs" dxfId="233" priority="19" stopIfTrue="1" operator="between">
      <formula>0</formula>
      <formula>79.9</formula>
    </cfRule>
    <cfRule type="cellIs" dxfId="232" priority="20" stopIfTrue="1" operator="between">
      <formula>80</formula>
      <formula>97.9</formula>
    </cfRule>
    <cfRule type="cellIs" dxfId="231" priority="21" stopIfTrue="1" operator="between">
      <formula>98</formula>
      <formula>100</formula>
    </cfRule>
  </conditionalFormatting>
  <conditionalFormatting sqref="D53:D54">
    <cfRule type="cellIs" dxfId="230" priority="16" stopIfTrue="1" operator="between">
      <formula>0</formula>
      <formula>79.9</formula>
    </cfRule>
    <cfRule type="cellIs" dxfId="229" priority="17" stopIfTrue="1" operator="between">
      <formula>80</formula>
      <formula>97.9</formula>
    </cfRule>
    <cfRule type="cellIs" dxfId="228" priority="18" stopIfTrue="1" operator="between">
      <formula>98</formula>
      <formula>100</formula>
    </cfRule>
  </conditionalFormatting>
  <conditionalFormatting sqref="D70">
    <cfRule type="cellIs" dxfId="227" priority="13" stopIfTrue="1" operator="between">
      <formula>0</formula>
      <formula>79.9</formula>
    </cfRule>
    <cfRule type="cellIs" dxfId="226" priority="14" stopIfTrue="1" operator="between">
      <formula>80</formula>
      <formula>97.9</formula>
    </cfRule>
    <cfRule type="cellIs" dxfId="225" priority="15" stopIfTrue="1" operator="between">
      <formula>98</formula>
      <formula>100</formula>
    </cfRule>
  </conditionalFormatting>
  <conditionalFormatting sqref="D78:D79">
    <cfRule type="cellIs" dxfId="224" priority="10" stopIfTrue="1" operator="between">
      <formula>0</formula>
      <formula>79.9</formula>
    </cfRule>
    <cfRule type="cellIs" dxfId="223" priority="11" stopIfTrue="1" operator="between">
      <formula>80</formula>
      <formula>97.9</formula>
    </cfRule>
    <cfRule type="cellIs" dxfId="222" priority="12" stopIfTrue="1" operator="between">
      <formula>98</formula>
      <formula>100</formula>
    </cfRule>
  </conditionalFormatting>
  <conditionalFormatting sqref="D87:D88">
    <cfRule type="cellIs" dxfId="221" priority="7" stopIfTrue="1" operator="between">
      <formula>0</formula>
      <formula>79.9</formula>
    </cfRule>
    <cfRule type="cellIs" dxfId="220" priority="8" stopIfTrue="1" operator="between">
      <formula>80</formula>
      <formula>97.9</formula>
    </cfRule>
    <cfRule type="cellIs" dxfId="219" priority="9" stopIfTrue="1" operator="between">
      <formula>98</formula>
      <formula>100</formula>
    </cfRule>
  </conditionalFormatting>
  <conditionalFormatting sqref="D111:D112">
    <cfRule type="cellIs" dxfId="218" priority="4" stopIfTrue="1" operator="between">
      <formula>0</formula>
      <formula>79.9</formula>
    </cfRule>
    <cfRule type="cellIs" dxfId="217" priority="5" stopIfTrue="1" operator="between">
      <formula>80</formula>
      <formula>97.9</formula>
    </cfRule>
    <cfRule type="cellIs" dxfId="216" priority="6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T160"/>
  <sheetViews>
    <sheetView workbookViewId="0">
      <selection activeCell="A2" sqref="A2:A19"/>
    </sheetView>
  </sheetViews>
  <sheetFormatPr baseColWidth="10" defaultColWidth="8.83203125" defaultRowHeight="14.25" customHeight="1"/>
  <cols>
    <col min="1" max="1" width="17.83203125" style="18" bestFit="1" customWidth="1"/>
    <col min="2" max="2" width="7" style="18" bestFit="1" customWidth="1"/>
    <col min="3" max="3" width="19.6640625" style="18" customWidth="1"/>
    <col min="4" max="4" width="13.1640625" style="18" customWidth="1"/>
    <col min="5" max="5" width="14.6640625" style="18" customWidth="1"/>
    <col min="6" max="6" width="12.6640625" style="18" customWidth="1"/>
    <col min="7" max="7" width="12.1640625" style="18" customWidth="1"/>
    <col min="8" max="8" width="15.5" style="18" customWidth="1"/>
    <col min="9" max="9" width="16.83203125" style="18" customWidth="1"/>
    <col min="10" max="10" width="10.33203125" style="18" customWidth="1"/>
    <col min="11" max="11" width="12.6640625" style="18" customWidth="1"/>
    <col min="12" max="12" width="12" style="18" customWidth="1"/>
    <col min="13" max="13" width="9.33203125" style="18" bestFit="1" customWidth="1"/>
    <col min="14" max="14" width="9.1640625" style="18" customWidth="1"/>
    <col min="15" max="15" width="14.1640625" style="18" customWidth="1"/>
    <col min="16" max="16" width="14.5" style="18" bestFit="1" customWidth="1"/>
    <col min="17" max="19" width="9.1640625" style="18" customWidth="1"/>
    <col min="20" max="16384" width="8.83203125" style="26"/>
  </cols>
  <sheetData>
    <row r="1" spans="1:20" s="18" customFormat="1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9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2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  <c r="T1" s="26"/>
    </row>
    <row r="2" spans="1:20" s="18" customFormat="1" ht="14.25" customHeight="1">
      <c r="A2" s="270" t="s">
        <v>94</v>
      </c>
      <c r="B2" s="17" t="s">
        <v>89</v>
      </c>
      <c r="C2" s="20" t="s">
        <v>124</v>
      </c>
      <c r="D2" s="261"/>
      <c r="E2" s="262"/>
      <c r="F2" s="18">
        <v>2004</v>
      </c>
      <c r="G2" s="19" t="s">
        <v>90</v>
      </c>
      <c r="H2" s="18" t="s">
        <v>177</v>
      </c>
      <c r="I2" s="17" t="s">
        <v>91</v>
      </c>
      <c r="J2" s="18" t="s">
        <v>81</v>
      </c>
      <c r="K2" s="18">
        <v>1200</v>
      </c>
      <c r="L2" s="18">
        <v>1.2E-2</v>
      </c>
      <c r="M2" s="18" t="s">
        <v>80</v>
      </c>
      <c r="N2" s="18" t="s">
        <v>88</v>
      </c>
      <c r="O2" s="158">
        <v>100</v>
      </c>
      <c r="P2" s="42">
        <v>1.0000000000000026E-4</v>
      </c>
      <c r="Q2" s="4">
        <v>2.7000000000000001E-3</v>
      </c>
      <c r="R2" s="4">
        <v>3.7000000000000002E-3</v>
      </c>
      <c r="S2" s="4">
        <v>4.1999999999999997E-3</v>
      </c>
      <c r="T2" s="26"/>
    </row>
    <row r="3" spans="1:20" ht="14.25" customHeight="1">
      <c r="A3" s="270" t="s">
        <v>94</v>
      </c>
      <c r="B3" s="17" t="s">
        <v>89</v>
      </c>
      <c r="C3" s="158" t="s">
        <v>100</v>
      </c>
      <c r="D3" s="109">
        <v>-50.439226072752582</v>
      </c>
      <c r="E3" s="109">
        <v>-21.205476000000004</v>
      </c>
      <c r="F3" s="18">
        <v>2004</v>
      </c>
      <c r="G3" s="19" t="s">
        <v>90</v>
      </c>
      <c r="H3" s="18" t="s">
        <v>177</v>
      </c>
      <c r="I3" s="17" t="s">
        <v>91</v>
      </c>
      <c r="J3" s="18" t="s">
        <v>81</v>
      </c>
      <c r="K3" s="158">
        <f>6*300</f>
        <v>1800</v>
      </c>
      <c r="L3" s="18">
        <v>1.2E-2</v>
      </c>
      <c r="M3" s="18" t="s">
        <v>80</v>
      </c>
      <c r="N3" s="18" t="s">
        <v>88</v>
      </c>
      <c r="O3" s="10">
        <f>(98+91.5+96.3+71.7+99+96)/6</f>
        <v>92.083333333333329</v>
      </c>
      <c r="P3" s="42">
        <v>8.9999999999999976E-4</v>
      </c>
      <c r="Q3" s="4">
        <v>6.1199999999999996E-3</v>
      </c>
      <c r="R3" s="4">
        <v>1.26E-2</v>
      </c>
      <c r="S3" s="4">
        <v>1.7000000000000001E-2</v>
      </c>
    </row>
    <row r="4" spans="1:20" ht="14.25" customHeight="1">
      <c r="A4" s="270" t="s">
        <v>94</v>
      </c>
      <c r="B4" s="17" t="s">
        <v>89</v>
      </c>
      <c r="C4" s="158" t="s">
        <v>101</v>
      </c>
      <c r="D4" s="109">
        <v>-48.567377839455055</v>
      </c>
      <c r="E4" s="109">
        <v>-20.558455515000002</v>
      </c>
      <c r="F4" s="18">
        <v>2004</v>
      </c>
      <c r="G4" s="19" t="s">
        <v>90</v>
      </c>
      <c r="H4" s="18" t="s">
        <v>177</v>
      </c>
      <c r="I4" s="17" t="s">
        <v>91</v>
      </c>
      <c r="J4" s="18" t="s">
        <v>81</v>
      </c>
      <c r="K4" s="158">
        <f>5*300</f>
        <v>1500</v>
      </c>
      <c r="L4" s="18">
        <v>1.2E-2</v>
      </c>
      <c r="M4" s="18" t="s">
        <v>80</v>
      </c>
      <c r="N4" s="18" t="s">
        <v>88</v>
      </c>
      <c r="O4" s="10">
        <f>(97.5+93+98.5+83+99.4)/5</f>
        <v>94.28</v>
      </c>
      <c r="P4" s="42">
        <v>7.0000000000000097E-4</v>
      </c>
      <c r="Q4" s="4">
        <v>5.1000000000000004E-3</v>
      </c>
      <c r="R4" s="4">
        <v>0.01</v>
      </c>
      <c r="S4" s="4">
        <v>1.4E-2</v>
      </c>
    </row>
    <row r="5" spans="1:20" ht="14.25" customHeight="1">
      <c r="A5" s="270" t="s">
        <v>94</v>
      </c>
      <c r="B5" s="17" t="s">
        <v>89</v>
      </c>
      <c r="C5" s="158" t="s">
        <v>102</v>
      </c>
      <c r="D5" s="109">
        <v>-49.083000867090362</v>
      </c>
      <c r="E5" s="109">
        <v>-22.325122500000006</v>
      </c>
      <c r="F5" s="18">
        <v>2004</v>
      </c>
      <c r="G5" s="19" t="s">
        <v>90</v>
      </c>
      <c r="H5" s="18" t="s">
        <v>177</v>
      </c>
      <c r="I5" s="17" t="s">
        <v>91</v>
      </c>
      <c r="J5" s="18" t="s">
        <v>81</v>
      </c>
      <c r="K5" s="158">
        <f>5*300</f>
        <v>1500</v>
      </c>
      <c r="L5" s="18">
        <v>1.2E-2</v>
      </c>
      <c r="M5" s="18" t="s">
        <v>80</v>
      </c>
      <c r="N5" s="18" t="s">
        <v>88</v>
      </c>
      <c r="O5" s="10">
        <f>(92.5+100+99+100+91)/5</f>
        <v>96.5</v>
      </c>
      <c r="P5" s="42">
        <v>4.0000000000000018E-4</v>
      </c>
      <c r="Q5" s="4">
        <v>4.4999999999999997E-3</v>
      </c>
      <c r="R5" s="4">
        <v>8.0000000000000002E-3</v>
      </c>
      <c r="S5" s="4">
        <v>0.01</v>
      </c>
    </row>
    <row r="6" spans="1:20" ht="14.25" customHeight="1">
      <c r="A6" s="270" t="s">
        <v>94</v>
      </c>
      <c r="B6" s="17" t="s">
        <v>89</v>
      </c>
      <c r="C6" s="158" t="s">
        <v>103</v>
      </c>
      <c r="D6" s="109">
        <v>-48.441289384350434</v>
      </c>
      <c r="E6" s="109">
        <v>-22.888381500000008</v>
      </c>
      <c r="F6" s="18">
        <v>2004</v>
      </c>
      <c r="G6" s="19" t="s">
        <v>90</v>
      </c>
      <c r="H6" s="18" t="s">
        <v>177</v>
      </c>
      <c r="I6" s="17" t="s">
        <v>91</v>
      </c>
      <c r="J6" s="18" t="s">
        <v>81</v>
      </c>
      <c r="K6" s="158">
        <f>5*300</f>
        <v>1500</v>
      </c>
      <c r="L6" s="18">
        <v>1.2E-2</v>
      </c>
      <c r="M6" s="18" t="s">
        <v>80</v>
      </c>
      <c r="N6" s="18" t="s">
        <v>88</v>
      </c>
      <c r="O6" s="10">
        <f>(100+99.5+100+99+82.1)/5</f>
        <v>96.12</v>
      </c>
      <c r="P6" s="42">
        <v>5.0000000000000044E-4</v>
      </c>
      <c r="Q6" s="4">
        <v>4.3E-3</v>
      </c>
      <c r="R6" s="4">
        <v>8.3000000000000001E-3</v>
      </c>
      <c r="S6" s="4">
        <v>1.0999999999999999E-2</v>
      </c>
    </row>
    <row r="7" spans="1:20" ht="14.25" customHeight="1">
      <c r="A7" s="270" t="s">
        <v>94</v>
      </c>
      <c r="B7" s="17" t="s">
        <v>89</v>
      </c>
      <c r="C7" s="158" t="s">
        <v>104</v>
      </c>
      <c r="D7" s="109">
        <v>-47.06015627297316</v>
      </c>
      <c r="E7" s="109">
        <v>-22.907342500000002</v>
      </c>
      <c r="F7" s="18">
        <v>2004</v>
      </c>
      <c r="G7" s="19" t="s">
        <v>90</v>
      </c>
      <c r="H7" s="18" t="s">
        <v>177</v>
      </c>
      <c r="I7" s="17" t="s">
        <v>91</v>
      </c>
      <c r="J7" s="18" t="s">
        <v>81</v>
      </c>
      <c r="K7" s="158">
        <f>5*300</f>
        <v>1500</v>
      </c>
      <c r="L7" s="18">
        <v>1.2E-2</v>
      </c>
      <c r="M7" s="18" t="s">
        <v>80</v>
      </c>
      <c r="N7" s="18" t="s">
        <v>88</v>
      </c>
      <c r="O7" s="10">
        <f>(94.9+100+100+99+100)/5</f>
        <v>98.78</v>
      </c>
      <c r="P7" s="42">
        <v>5.0000000000000044E-4</v>
      </c>
      <c r="Q7" s="4">
        <v>4.9399999999999999E-3</v>
      </c>
      <c r="R7" s="4">
        <v>9.4000000000000004E-3</v>
      </c>
      <c r="S7" s="4">
        <v>1.2200000000000001E-2</v>
      </c>
    </row>
    <row r="8" spans="1:20" ht="14.25" customHeight="1">
      <c r="A8" s="270" t="s">
        <v>94</v>
      </c>
      <c r="B8" s="17" t="s">
        <v>89</v>
      </c>
      <c r="C8" s="158" t="s">
        <v>105</v>
      </c>
      <c r="D8" s="109">
        <v>-46.570383182112749</v>
      </c>
      <c r="E8" s="109">
        <v>-23.567386500000001</v>
      </c>
      <c r="F8" s="18">
        <v>2004</v>
      </c>
      <c r="G8" s="19" t="s">
        <v>90</v>
      </c>
      <c r="H8" s="18" t="s">
        <v>177</v>
      </c>
      <c r="I8" s="17" t="s">
        <v>91</v>
      </c>
      <c r="J8" s="18" t="s">
        <v>81</v>
      </c>
      <c r="K8" s="158">
        <f>4*300</f>
        <v>1200</v>
      </c>
      <c r="L8" s="18">
        <v>1.2E-2</v>
      </c>
      <c r="M8" s="18" t="s">
        <v>80</v>
      </c>
      <c r="N8" s="18" t="s">
        <v>88</v>
      </c>
      <c r="O8" s="10">
        <f>(34+67+27.9+58)/4</f>
        <v>46.725000000000001</v>
      </c>
      <c r="P8" s="42">
        <v>6.0000000000000019E-3</v>
      </c>
      <c r="Q8" s="4">
        <v>1.0999999999999999E-2</v>
      </c>
      <c r="R8" s="4">
        <v>3.4000000000000002E-2</v>
      </c>
      <c r="S8" s="4">
        <v>5.5E-2</v>
      </c>
    </row>
    <row r="9" spans="1:20" ht="14.25" customHeight="1">
      <c r="A9" s="270" t="s">
        <v>94</v>
      </c>
      <c r="B9" s="17" t="s">
        <v>89</v>
      </c>
      <c r="C9" s="158" t="s">
        <v>106</v>
      </c>
      <c r="D9" s="109">
        <v>-46.933372863488053</v>
      </c>
      <c r="E9" s="109">
        <v>-23.546934000000004</v>
      </c>
      <c r="F9" s="18">
        <v>2004</v>
      </c>
      <c r="G9" s="19" t="s">
        <v>90</v>
      </c>
      <c r="H9" s="18" t="s">
        <v>177</v>
      </c>
      <c r="I9" s="17" t="s">
        <v>91</v>
      </c>
      <c r="J9" s="18" t="s">
        <v>81</v>
      </c>
      <c r="K9" s="158">
        <f>4*300</f>
        <v>1200</v>
      </c>
      <c r="L9" s="18">
        <v>1.2E-2</v>
      </c>
      <c r="M9" s="18" t="s">
        <v>80</v>
      </c>
      <c r="N9" s="18" t="s">
        <v>88</v>
      </c>
      <c r="O9" s="10">
        <f>(52.5+54.4+49.4+79.7)/4</f>
        <v>59</v>
      </c>
      <c r="P9" s="42">
        <v>1.9999999999999983E-3</v>
      </c>
      <c r="Q9" s="4">
        <v>1.4E-2</v>
      </c>
      <c r="R9" s="4">
        <v>2.7E-2</v>
      </c>
      <c r="S9" s="4">
        <v>3.5000000000000003E-2</v>
      </c>
    </row>
    <row r="10" spans="1:20" ht="14.25" customHeight="1">
      <c r="A10" s="270" t="s">
        <v>94</v>
      </c>
      <c r="B10" s="17" t="s">
        <v>89</v>
      </c>
      <c r="C10" s="158" t="s">
        <v>107</v>
      </c>
      <c r="D10" s="109">
        <v>-49.951645643103269</v>
      </c>
      <c r="E10" s="109">
        <v>-22.122743500000002</v>
      </c>
      <c r="F10" s="18">
        <v>2004</v>
      </c>
      <c r="G10" s="19" t="s">
        <v>90</v>
      </c>
      <c r="H10" s="18" t="s">
        <v>177</v>
      </c>
      <c r="I10" s="17" t="s">
        <v>91</v>
      </c>
      <c r="J10" s="18" t="s">
        <v>81</v>
      </c>
      <c r="K10" s="158">
        <f>5*300</f>
        <v>1500</v>
      </c>
      <c r="L10" s="18">
        <v>1.2E-2</v>
      </c>
      <c r="M10" s="18" t="s">
        <v>80</v>
      </c>
      <c r="N10" s="18" t="s">
        <v>88</v>
      </c>
      <c r="O10" s="10">
        <f>(100+96.8+96.9+100+93.5)/5</f>
        <v>97.440000000000012</v>
      </c>
      <c r="P10" s="42">
        <v>5.9999999999999984E-4</v>
      </c>
      <c r="Q10" s="4">
        <v>4.4000000000000003E-3</v>
      </c>
      <c r="R10" s="4">
        <v>7.7000000000000002E-3</v>
      </c>
      <c r="S10" s="4">
        <v>9.7000000000000003E-3</v>
      </c>
    </row>
    <row r="11" spans="1:20" ht="14.25" customHeight="1">
      <c r="A11" s="270" t="s">
        <v>94</v>
      </c>
      <c r="B11" s="17" t="s">
        <v>89</v>
      </c>
      <c r="C11" s="158" t="s">
        <v>108</v>
      </c>
      <c r="D11" s="109">
        <v>-51.386765581912492</v>
      </c>
      <c r="E11" s="109">
        <v>-24.494251427999906</v>
      </c>
      <c r="F11" s="18">
        <v>2004</v>
      </c>
      <c r="G11" s="19" t="s">
        <v>90</v>
      </c>
      <c r="H11" s="18" t="s">
        <v>177</v>
      </c>
      <c r="I11" s="17" t="s">
        <v>91</v>
      </c>
      <c r="J11" s="18" t="s">
        <v>81</v>
      </c>
      <c r="K11" s="158">
        <f>6*300</f>
        <v>1800</v>
      </c>
      <c r="L11" s="18">
        <v>1.2E-2</v>
      </c>
      <c r="M11" s="18" t="s">
        <v>80</v>
      </c>
      <c r="N11" s="18" t="s">
        <v>88</v>
      </c>
      <c r="O11" s="10">
        <f>(97+93+100+99.4+100+100)/6</f>
        <v>98.233333333333334</v>
      </c>
      <c r="P11" s="42">
        <v>3.8999999999999972E-4</v>
      </c>
      <c r="Q11" s="4">
        <v>4.0800000000000003E-3</v>
      </c>
      <c r="R11" s="4">
        <v>6.3899999999999998E-3</v>
      </c>
      <c r="S11" s="4">
        <v>7.6899999999999998E-3</v>
      </c>
    </row>
    <row r="12" spans="1:20" ht="14.25" customHeight="1">
      <c r="A12" s="270" t="s">
        <v>94</v>
      </c>
      <c r="B12" s="17" t="s">
        <v>89</v>
      </c>
      <c r="C12" s="158" t="s">
        <v>109</v>
      </c>
      <c r="D12" s="109">
        <v>-47.805475915541528</v>
      </c>
      <c r="E12" s="109">
        <v>-21.184834500000004</v>
      </c>
      <c r="F12" s="18">
        <v>2004</v>
      </c>
      <c r="G12" s="19" t="s">
        <v>90</v>
      </c>
      <c r="H12" s="18" t="s">
        <v>177</v>
      </c>
      <c r="I12" s="17" t="s">
        <v>91</v>
      </c>
      <c r="J12" s="18" t="s">
        <v>81</v>
      </c>
      <c r="K12" s="158">
        <f>6*300</f>
        <v>1800</v>
      </c>
      <c r="L12" s="18">
        <v>1.2E-2</v>
      </c>
      <c r="M12" s="18" t="s">
        <v>80</v>
      </c>
      <c r="N12" s="18" t="s">
        <v>88</v>
      </c>
      <c r="O12" s="10">
        <f>(100+97.8+96+99.5+96.5+53.5)/6</f>
        <v>90.55</v>
      </c>
      <c r="P12" s="42">
        <v>3.9999999999999931E-4</v>
      </c>
      <c r="Q12" s="4">
        <v>5.4999999999999997E-3</v>
      </c>
      <c r="R12" s="4">
        <v>1.03E-2</v>
      </c>
      <c r="S12" s="4">
        <v>1.2999999999999999E-2</v>
      </c>
    </row>
    <row r="13" spans="1:20" ht="14.25" customHeight="1">
      <c r="A13" s="270" t="s">
        <v>94</v>
      </c>
      <c r="B13" s="17" t="s">
        <v>89</v>
      </c>
      <c r="C13" s="158" t="s">
        <v>110</v>
      </c>
      <c r="D13" s="109">
        <v>-46.331370849190684</v>
      </c>
      <c r="E13" s="109">
        <v>-23.933737500000003</v>
      </c>
      <c r="F13" s="18">
        <v>2004</v>
      </c>
      <c r="G13" s="19" t="s">
        <v>90</v>
      </c>
      <c r="H13" s="18" t="s">
        <v>177</v>
      </c>
      <c r="I13" s="17" t="s">
        <v>91</v>
      </c>
      <c r="J13" s="18" t="s">
        <v>81</v>
      </c>
      <c r="K13" s="158">
        <f>5*300</f>
        <v>1500</v>
      </c>
      <c r="L13" s="18">
        <v>1.2E-2</v>
      </c>
      <c r="M13" s="18" t="s">
        <v>80</v>
      </c>
      <c r="N13" s="18" t="s">
        <v>88</v>
      </c>
      <c r="O13" s="10">
        <f>(46+67.3+23.9+75.5+3.5)/5</f>
        <v>43.239999999999995</v>
      </c>
      <c r="P13" s="42">
        <v>0</v>
      </c>
      <c r="Q13" s="4">
        <v>9.7999999999999997E-3</v>
      </c>
      <c r="R13" s="4">
        <v>1.4999999999999999E-2</v>
      </c>
      <c r="S13" s="4">
        <v>1.7999999999999999E-2</v>
      </c>
    </row>
    <row r="14" spans="1:20" ht="14.25" customHeight="1">
      <c r="A14" s="270" t="s">
        <v>94</v>
      </c>
      <c r="B14" s="17" t="s">
        <v>89</v>
      </c>
      <c r="C14" s="158" t="s">
        <v>111</v>
      </c>
      <c r="D14" s="109">
        <v>-47.889237684691636</v>
      </c>
      <c r="E14" s="109">
        <v>-22.015998500000002</v>
      </c>
      <c r="F14" s="18">
        <v>2004</v>
      </c>
      <c r="G14" s="19" t="s">
        <v>90</v>
      </c>
      <c r="H14" s="18" t="s">
        <v>177</v>
      </c>
      <c r="I14" s="17" t="s">
        <v>91</v>
      </c>
      <c r="J14" s="18" t="s">
        <v>81</v>
      </c>
      <c r="K14" s="158">
        <f>4*300</f>
        <v>1200</v>
      </c>
      <c r="L14" s="18">
        <v>1.2E-2</v>
      </c>
      <c r="M14" s="18" t="s">
        <v>80</v>
      </c>
      <c r="N14" s="18" t="s">
        <v>88</v>
      </c>
      <c r="O14" s="10">
        <f>(100+100+100+73)/4</f>
        <v>93.25</v>
      </c>
      <c r="P14" s="42">
        <v>5.9999999999999984E-4</v>
      </c>
      <c r="Q14" s="4">
        <v>3.3999999999999998E-3</v>
      </c>
      <c r="R14" s="4">
        <v>6.7999999999999996E-3</v>
      </c>
      <c r="S14" s="4">
        <v>9.1000000000000004E-3</v>
      </c>
    </row>
    <row r="15" spans="1:20" ht="14.25" customHeight="1">
      <c r="A15" s="270" t="s">
        <v>94</v>
      </c>
      <c r="B15" s="17" t="s">
        <v>89</v>
      </c>
      <c r="C15" s="158" t="s">
        <v>112</v>
      </c>
      <c r="D15" s="109">
        <v>-49.381347685025794</v>
      </c>
      <c r="E15" s="109">
        <v>-20.812636500000004</v>
      </c>
      <c r="F15" s="18">
        <v>2004</v>
      </c>
      <c r="G15" s="19" t="s">
        <v>90</v>
      </c>
      <c r="H15" s="18" t="s">
        <v>177</v>
      </c>
      <c r="I15" s="17" t="s">
        <v>91</v>
      </c>
      <c r="J15" s="18" t="s">
        <v>81</v>
      </c>
      <c r="K15" s="158">
        <f>5*300</f>
        <v>1500</v>
      </c>
      <c r="L15" s="18">
        <v>1.2E-2</v>
      </c>
      <c r="M15" s="18" t="s">
        <v>80</v>
      </c>
      <c r="N15" s="18" t="s">
        <v>88</v>
      </c>
      <c r="O15" s="10">
        <f>(82.8+72.5+84+82+100)/5</f>
        <v>84.26</v>
      </c>
      <c r="P15" s="42">
        <v>9.9999999999999915E-4</v>
      </c>
      <c r="Q15" s="4">
        <v>6.3E-3</v>
      </c>
      <c r="R15" s="4">
        <v>1.2999999999999999E-2</v>
      </c>
      <c r="S15" s="4">
        <v>1.7999999999999999E-2</v>
      </c>
    </row>
    <row r="16" spans="1:20" ht="14.25" customHeight="1">
      <c r="A16" s="270" t="s">
        <v>94</v>
      </c>
      <c r="B16" s="17" t="s">
        <v>89</v>
      </c>
      <c r="C16" s="158" t="s">
        <v>113</v>
      </c>
      <c r="D16" s="109">
        <v>-45.402680140543957</v>
      </c>
      <c r="E16" s="109">
        <v>-23.806687652148753</v>
      </c>
      <c r="F16" s="18">
        <v>2004</v>
      </c>
      <c r="G16" s="19" t="s">
        <v>90</v>
      </c>
      <c r="H16" s="18" t="s">
        <v>177</v>
      </c>
      <c r="I16" s="17" t="s">
        <v>91</v>
      </c>
      <c r="J16" s="18" t="s">
        <v>81</v>
      </c>
      <c r="K16" s="158">
        <f>4*300</f>
        <v>1200</v>
      </c>
      <c r="L16" s="18">
        <v>1.2E-2</v>
      </c>
      <c r="M16" s="18" t="s">
        <v>80</v>
      </c>
      <c r="N16" s="18" t="s">
        <v>88</v>
      </c>
      <c r="O16" s="10">
        <f>(22.6+5.2+33+27.4)/4</f>
        <v>22.049999999999997</v>
      </c>
      <c r="P16" s="42">
        <v>3.0000000000000027E-3</v>
      </c>
      <c r="Q16" s="4">
        <v>2.1999999999999999E-2</v>
      </c>
      <c r="R16" s="4">
        <v>3.9E-2</v>
      </c>
      <c r="S16" s="4">
        <v>4.9000000000000002E-2</v>
      </c>
    </row>
    <row r="17" spans="1:20" ht="14.25" customHeight="1">
      <c r="A17" s="270" t="s">
        <v>94</v>
      </c>
      <c r="B17" s="17" t="s">
        <v>89</v>
      </c>
      <c r="C17" s="158" t="s">
        <v>114</v>
      </c>
      <c r="D17" s="109">
        <v>-47.457853253204043</v>
      </c>
      <c r="E17" s="109">
        <v>-23.499323</v>
      </c>
      <c r="F17" s="18">
        <v>2004</v>
      </c>
      <c r="G17" s="19" t="s">
        <v>90</v>
      </c>
      <c r="H17" s="18" t="s">
        <v>177</v>
      </c>
      <c r="I17" s="17" t="s">
        <v>91</v>
      </c>
      <c r="J17" s="18" t="s">
        <v>81</v>
      </c>
      <c r="K17" s="158">
        <f>6*300</f>
        <v>1800</v>
      </c>
      <c r="L17" s="18">
        <v>1.2E-2</v>
      </c>
      <c r="M17" s="18" t="s">
        <v>80</v>
      </c>
      <c r="N17" s="18" t="s">
        <v>88</v>
      </c>
      <c r="O17" s="10">
        <f>(100+91+94.7+97+25.5+71)/6</f>
        <v>79.86666666666666</v>
      </c>
      <c r="P17" s="42">
        <v>1.0000000000000009E-3</v>
      </c>
      <c r="Q17" s="4">
        <v>5.4000000000000003E-3</v>
      </c>
      <c r="R17" s="4">
        <v>1.4E-2</v>
      </c>
      <c r="S17" s="4">
        <v>2.1000000000000001E-2</v>
      </c>
    </row>
    <row r="18" spans="1:20" ht="14.25" customHeight="1">
      <c r="A18" s="270" t="s">
        <v>94</v>
      </c>
      <c r="B18" s="17" t="s">
        <v>89</v>
      </c>
      <c r="C18" s="17" t="s">
        <v>115</v>
      </c>
      <c r="D18" s="109">
        <v>-60.670532672965052</v>
      </c>
      <c r="E18" s="109">
        <v>2.8166819191043904</v>
      </c>
      <c r="F18" s="18">
        <v>2004</v>
      </c>
      <c r="G18" s="19" t="s">
        <v>90</v>
      </c>
      <c r="H18" s="18" t="s">
        <v>177</v>
      </c>
      <c r="I18" s="17" t="s">
        <v>91</v>
      </c>
      <c r="J18" s="18" t="s">
        <v>81</v>
      </c>
      <c r="K18" s="18">
        <v>1200</v>
      </c>
      <c r="L18" s="18">
        <v>1.2E-2</v>
      </c>
      <c r="M18" s="18" t="s">
        <v>80</v>
      </c>
      <c r="N18" s="18" t="s">
        <v>88</v>
      </c>
      <c r="O18" s="10">
        <f>(26.6+21.5+13.1+67.5)/4</f>
        <v>32.174999999999997</v>
      </c>
      <c r="P18" s="42">
        <v>7.9999999999999863E-4</v>
      </c>
      <c r="Q18" s="4">
        <v>1.17E-2</v>
      </c>
      <c r="R18" s="4">
        <v>1.7399999999999999E-2</v>
      </c>
      <c r="S18" s="4">
        <v>2.0500000000000001E-2</v>
      </c>
    </row>
    <row r="19" spans="1:20" ht="14.25" customHeight="1">
      <c r="A19" s="270" t="s">
        <v>94</v>
      </c>
      <c r="B19" s="17" t="s">
        <v>89</v>
      </c>
      <c r="C19" s="158" t="s">
        <v>116</v>
      </c>
      <c r="D19" s="109">
        <v>-38.589927555043182</v>
      </c>
      <c r="E19" s="109">
        <v>-3.7238050350000007</v>
      </c>
      <c r="F19" s="18">
        <v>2004</v>
      </c>
      <c r="G19" s="19" t="s">
        <v>90</v>
      </c>
      <c r="H19" s="18" t="s">
        <v>177</v>
      </c>
      <c r="I19" s="17" t="s">
        <v>91</v>
      </c>
      <c r="J19" s="18" t="s">
        <v>81</v>
      </c>
      <c r="K19" s="18">
        <v>1200</v>
      </c>
      <c r="L19" s="18">
        <v>1.2E-2</v>
      </c>
      <c r="M19" s="18" t="s">
        <v>80</v>
      </c>
      <c r="N19" s="18" t="s">
        <v>88</v>
      </c>
      <c r="O19" s="10">
        <f>(20+1+1.5+0)/4</f>
        <v>5.625</v>
      </c>
      <c r="P19" s="42">
        <v>2.5999999999999981E-3</v>
      </c>
      <c r="Q19" s="4">
        <v>1.5900000000000001E-2</v>
      </c>
      <c r="R19" s="4">
        <v>3.3599999999999998E-2</v>
      </c>
      <c r="S19" s="4">
        <v>4.5900000000000003E-2</v>
      </c>
    </row>
    <row r="20" spans="1:20" ht="14.25" customHeight="1">
      <c r="A20" s="270" t="s">
        <v>94</v>
      </c>
      <c r="B20" s="17" t="s">
        <v>89</v>
      </c>
      <c r="C20" s="158" t="s">
        <v>117</v>
      </c>
      <c r="D20" s="109">
        <v>-40.503552159443394</v>
      </c>
      <c r="E20" s="109">
        <v>-9.4107170962278648</v>
      </c>
      <c r="F20" s="18">
        <v>2004</v>
      </c>
      <c r="G20" s="19" t="s">
        <v>90</v>
      </c>
      <c r="H20" s="18" t="s">
        <v>177</v>
      </c>
      <c r="I20" s="17" t="s">
        <v>91</v>
      </c>
      <c r="J20" s="18" t="s">
        <v>81</v>
      </c>
      <c r="K20" s="18">
        <v>1200</v>
      </c>
      <c r="L20" s="18">
        <v>1.2E-2</v>
      </c>
      <c r="M20" s="18" t="s">
        <v>80</v>
      </c>
      <c r="N20" s="18" t="s">
        <v>88</v>
      </c>
      <c r="O20" s="10">
        <f>(1+0+4+0.99)/4</f>
        <v>1.4975000000000001</v>
      </c>
      <c r="P20" s="42">
        <v>6.0000000000000053E-3</v>
      </c>
      <c r="Q20" s="4">
        <v>3.2800000000000003E-2</v>
      </c>
      <c r="R20" s="4">
        <v>6.4600000000000005E-2</v>
      </c>
      <c r="S20" s="4">
        <v>8.5500000000000007E-2</v>
      </c>
    </row>
    <row r="21" spans="1:20" ht="14.25" customHeight="1">
      <c r="A21" s="270" t="s">
        <v>94</v>
      </c>
      <c r="B21" s="17" t="s">
        <v>89</v>
      </c>
      <c r="C21" s="158" t="s">
        <v>118</v>
      </c>
      <c r="D21" s="109">
        <v>-51.057405457035955</v>
      </c>
      <c r="E21" s="109">
        <v>3.8951010000000008E-2</v>
      </c>
      <c r="F21" s="18">
        <v>2004</v>
      </c>
      <c r="G21" s="19" t="s">
        <v>90</v>
      </c>
      <c r="H21" s="18" t="s">
        <v>177</v>
      </c>
      <c r="I21" s="17" t="s">
        <v>91</v>
      </c>
      <c r="J21" s="18" t="s">
        <v>81</v>
      </c>
      <c r="K21" s="18">
        <v>1200</v>
      </c>
      <c r="L21" s="18">
        <v>1.2E-2</v>
      </c>
      <c r="M21" s="18" t="s">
        <v>80</v>
      </c>
      <c r="N21" s="18" t="s">
        <v>88</v>
      </c>
      <c r="O21" s="10">
        <f>(3.5+6+8+13)/4</f>
        <v>7.625</v>
      </c>
      <c r="P21" s="42">
        <v>2.2000000000000006E-3</v>
      </c>
      <c r="Q21" s="4">
        <v>2.2200000000000001E-2</v>
      </c>
      <c r="R21" s="4">
        <v>4.02E-2</v>
      </c>
      <c r="S21" s="4">
        <v>5.1499999999999997E-2</v>
      </c>
    </row>
    <row r="22" spans="1:20" ht="14.25" customHeight="1">
      <c r="A22" s="270" t="s">
        <v>94</v>
      </c>
      <c r="B22" s="17" t="s">
        <v>89</v>
      </c>
      <c r="C22" s="158" t="s">
        <v>119</v>
      </c>
      <c r="D22" s="109">
        <v>-60.023335181061036</v>
      </c>
      <c r="E22" s="109">
        <v>-3.1346914912019459</v>
      </c>
      <c r="F22" s="18">
        <v>2004</v>
      </c>
      <c r="G22" s="19" t="s">
        <v>90</v>
      </c>
      <c r="H22" s="18" t="s">
        <v>177</v>
      </c>
      <c r="I22" s="17" t="s">
        <v>91</v>
      </c>
      <c r="J22" s="18" t="s">
        <v>81</v>
      </c>
      <c r="K22" s="18">
        <v>1200</v>
      </c>
      <c r="L22" s="18">
        <v>1.2E-2</v>
      </c>
      <c r="M22" s="18" t="s">
        <v>80</v>
      </c>
      <c r="N22" s="18" t="s">
        <v>88</v>
      </c>
      <c r="O22" s="10">
        <f>(88.4+58.5+83.5+16.2)/4</f>
        <v>61.65</v>
      </c>
      <c r="P22" s="42">
        <v>6.4999999999999988E-3</v>
      </c>
      <c r="Q22" s="4">
        <v>2.3E-2</v>
      </c>
      <c r="R22" s="4">
        <v>5.7599999999999998E-2</v>
      </c>
      <c r="S22" s="4">
        <v>8.3699999999999997E-2</v>
      </c>
    </row>
    <row r="23" spans="1:20" ht="14.25" customHeight="1">
      <c r="A23" s="270" t="s">
        <v>94</v>
      </c>
      <c r="B23" s="17" t="s">
        <v>89</v>
      </c>
      <c r="C23" s="17" t="s">
        <v>120</v>
      </c>
      <c r="D23" s="109">
        <v>-42.805270458223347</v>
      </c>
      <c r="E23" s="109">
        <v>-5.0863419523217006</v>
      </c>
      <c r="F23" s="18">
        <v>2004</v>
      </c>
      <c r="G23" s="19" t="s">
        <v>90</v>
      </c>
      <c r="H23" s="18" t="s">
        <v>177</v>
      </c>
      <c r="I23" s="17" t="s">
        <v>91</v>
      </c>
      <c r="J23" s="18" t="s">
        <v>81</v>
      </c>
      <c r="K23" s="18">
        <v>900</v>
      </c>
      <c r="L23" s="18">
        <v>1.2E-2</v>
      </c>
      <c r="M23" s="18" t="s">
        <v>80</v>
      </c>
      <c r="N23" s="18" t="s">
        <v>88</v>
      </c>
      <c r="O23" s="28">
        <f>(9+3.5+1.5)/3</f>
        <v>4.666666666666667</v>
      </c>
      <c r="P23" s="42">
        <v>3.9999999999999966E-3</v>
      </c>
      <c r="Q23" s="4">
        <v>2.9000000000000001E-2</v>
      </c>
      <c r="R23" s="4">
        <v>5.0999999999999997E-2</v>
      </c>
      <c r="S23" s="4">
        <v>6.5000000000000002E-2</v>
      </c>
    </row>
    <row r="24" spans="1:20" ht="14.25" customHeight="1">
      <c r="A24" s="270" t="s">
        <v>94</v>
      </c>
      <c r="B24" s="17" t="s">
        <v>89</v>
      </c>
      <c r="C24" s="17" t="s">
        <v>121</v>
      </c>
      <c r="D24" s="109">
        <v>-35.090646545537375</v>
      </c>
      <c r="E24" s="109">
        <v>-8.7046892785391865</v>
      </c>
      <c r="F24" s="18">
        <v>2004</v>
      </c>
      <c r="G24" s="19" t="s">
        <v>90</v>
      </c>
      <c r="H24" s="17" t="s">
        <v>177</v>
      </c>
      <c r="I24" s="17" t="s">
        <v>91</v>
      </c>
      <c r="J24" s="18" t="s">
        <v>81</v>
      </c>
      <c r="K24" s="18">
        <v>1500</v>
      </c>
      <c r="L24" s="18">
        <v>1.2E-2</v>
      </c>
      <c r="M24" s="18" t="s">
        <v>80</v>
      </c>
      <c r="N24" s="18" t="s">
        <v>88</v>
      </c>
      <c r="O24" s="28">
        <f>(79.8+82.5+56+7.6+23)/5</f>
        <v>49.78</v>
      </c>
      <c r="P24" s="42">
        <v>2.0000000000000018E-3</v>
      </c>
      <c r="Q24" s="4">
        <v>0.02</v>
      </c>
      <c r="R24" s="4">
        <v>3.5000000000000003E-2</v>
      </c>
      <c r="S24" s="4">
        <v>4.3999999999999997E-2</v>
      </c>
    </row>
    <row r="25" spans="1:20" ht="14.25" customHeight="1">
      <c r="A25" s="270" t="s">
        <v>94</v>
      </c>
      <c r="B25" s="17" t="s">
        <v>89</v>
      </c>
      <c r="C25" s="17" t="s">
        <v>122</v>
      </c>
      <c r="D25" s="109">
        <v>-39.273108952008137</v>
      </c>
      <c r="E25" s="109">
        <v>-14.789039548603002</v>
      </c>
      <c r="F25" s="18">
        <v>2004</v>
      </c>
      <c r="G25" s="19" t="s">
        <v>90</v>
      </c>
      <c r="H25" s="18" t="s">
        <v>177</v>
      </c>
      <c r="I25" s="17" t="s">
        <v>91</v>
      </c>
      <c r="J25" s="18" t="s">
        <v>81</v>
      </c>
      <c r="K25" s="18">
        <v>1200</v>
      </c>
      <c r="L25" s="18">
        <v>1.2E-2</v>
      </c>
      <c r="M25" s="18" t="s">
        <v>80</v>
      </c>
      <c r="N25" s="18" t="s">
        <v>88</v>
      </c>
      <c r="O25" s="28">
        <f>(10.5+1+0+5)/4</f>
        <v>4.125</v>
      </c>
      <c r="P25" s="42">
        <v>9.000000000000008E-3</v>
      </c>
      <c r="Q25" s="4">
        <v>4.3999999999999997E-2</v>
      </c>
      <c r="R25" s="4">
        <v>6.9000000000000006E-2</v>
      </c>
      <c r="S25" s="4">
        <v>8.2000000000000003E-2</v>
      </c>
    </row>
    <row r="26" spans="1:20" ht="14.25" customHeight="1">
      <c r="A26" s="270" t="s">
        <v>94</v>
      </c>
      <c r="B26" s="17" t="s">
        <v>89</v>
      </c>
      <c r="C26" s="17" t="s">
        <v>123</v>
      </c>
      <c r="D26" s="109">
        <v>-38.488061484007851</v>
      </c>
      <c r="E26" s="109">
        <v>-13.014771911532753</v>
      </c>
      <c r="F26" s="18">
        <v>2004</v>
      </c>
      <c r="G26" s="19" t="s">
        <v>90</v>
      </c>
      <c r="H26" s="18" t="s">
        <v>177</v>
      </c>
      <c r="I26" s="17" t="s">
        <v>91</v>
      </c>
      <c r="J26" s="18" t="s">
        <v>81</v>
      </c>
      <c r="K26" s="18">
        <v>1500</v>
      </c>
      <c r="L26" s="18">
        <v>1.2E-2</v>
      </c>
      <c r="M26" s="18" t="s">
        <v>80</v>
      </c>
      <c r="N26" s="18" t="s">
        <v>88</v>
      </c>
      <c r="O26" s="28">
        <f>(4.5+13.2+8.5+11+6)/5</f>
        <v>8.64</v>
      </c>
      <c r="P26" s="42">
        <v>3.4999999999999962E-3</v>
      </c>
      <c r="Q26" s="4">
        <v>2.758E-2</v>
      </c>
      <c r="R26" s="4">
        <v>5.4699999999999999E-2</v>
      </c>
      <c r="S26" s="4">
        <v>7.2700000000000001E-2</v>
      </c>
    </row>
    <row r="27" spans="1:20" ht="14.25" customHeight="1" thickBot="1">
      <c r="A27" s="11" t="s">
        <v>94</v>
      </c>
      <c r="B27" s="21" t="s">
        <v>89</v>
      </c>
      <c r="C27" s="21" t="s">
        <v>96</v>
      </c>
      <c r="D27" s="110">
        <v>-41.778170592024502</v>
      </c>
      <c r="E27" s="110">
        <v>-2.9033601445089237</v>
      </c>
      <c r="F27" s="21">
        <v>2004</v>
      </c>
      <c r="G27" s="22" t="s">
        <v>90</v>
      </c>
      <c r="H27" s="21" t="s">
        <v>177</v>
      </c>
      <c r="I27" s="21" t="s">
        <v>91</v>
      </c>
      <c r="J27" s="21" t="s">
        <v>81</v>
      </c>
      <c r="K27" s="21">
        <v>1200</v>
      </c>
      <c r="L27" s="21">
        <v>1.2E-2</v>
      </c>
      <c r="M27" s="21" t="s">
        <v>80</v>
      </c>
      <c r="N27" s="21" t="s">
        <v>88</v>
      </c>
      <c r="O27" s="25">
        <f>(4.4+7+0.5+2)/4</f>
        <v>3.4750000000000001</v>
      </c>
      <c r="P27" s="44">
        <v>4.9999999999999975E-3</v>
      </c>
      <c r="Q27" s="29">
        <v>3.7999999999999999E-2</v>
      </c>
      <c r="R27" s="29">
        <v>6.3E-2</v>
      </c>
      <c r="S27" s="29">
        <v>7.6999999999999999E-2</v>
      </c>
    </row>
    <row r="28" spans="1:20" ht="14.25" customHeight="1">
      <c r="A28" s="270" t="s">
        <v>94</v>
      </c>
      <c r="B28" s="17" t="s">
        <v>89</v>
      </c>
      <c r="C28" s="20" t="s">
        <v>124</v>
      </c>
      <c r="D28" s="261"/>
      <c r="E28" s="262"/>
      <c r="F28" s="18">
        <v>2004</v>
      </c>
      <c r="G28" s="19" t="s">
        <v>90</v>
      </c>
      <c r="H28" s="18" t="s">
        <v>177</v>
      </c>
      <c r="I28" s="17" t="s">
        <v>91</v>
      </c>
      <c r="J28" s="158" t="s">
        <v>92</v>
      </c>
      <c r="K28" s="18">
        <v>1200</v>
      </c>
      <c r="L28" s="158">
        <v>0.01</v>
      </c>
      <c r="M28" s="18" t="s">
        <v>80</v>
      </c>
      <c r="N28" s="18" t="s">
        <v>88</v>
      </c>
      <c r="O28" s="18">
        <v>100</v>
      </c>
      <c r="P28" s="42">
        <v>1.9999999999999966E-4</v>
      </c>
      <c r="Q28" s="4">
        <v>2.7000000000000001E-3</v>
      </c>
      <c r="R28" s="4">
        <v>4.5999999999999999E-3</v>
      </c>
      <c r="S28" s="4">
        <v>5.7999999999999996E-3</v>
      </c>
    </row>
    <row r="29" spans="1:20" ht="14.25" customHeight="1">
      <c r="A29" s="270" t="s">
        <v>94</v>
      </c>
      <c r="B29" s="17" t="s">
        <v>89</v>
      </c>
      <c r="C29" s="158" t="s">
        <v>100</v>
      </c>
      <c r="D29" s="109">
        <v>-50.439226072752582</v>
      </c>
      <c r="E29" s="109">
        <v>-21.205476000000004</v>
      </c>
      <c r="F29" s="18">
        <v>2004</v>
      </c>
      <c r="G29" s="19" t="s">
        <v>90</v>
      </c>
      <c r="H29" s="18" t="s">
        <v>177</v>
      </c>
      <c r="I29" s="17" t="s">
        <v>91</v>
      </c>
      <c r="J29" s="158" t="s">
        <v>92</v>
      </c>
      <c r="K29" s="158">
        <v>1500</v>
      </c>
      <c r="L29" s="158">
        <v>0.01</v>
      </c>
      <c r="M29" s="18" t="s">
        <v>80</v>
      </c>
      <c r="N29" s="17" t="s">
        <v>88</v>
      </c>
      <c r="O29" s="10">
        <f>(75.5+98.3+100+72.1+93)/5</f>
        <v>87.78</v>
      </c>
      <c r="P29" s="42">
        <v>1.0000000000000009E-3</v>
      </c>
      <c r="Q29" s="4">
        <v>6.1999999999999998E-3</v>
      </c>
      <c r="R29" s="4">
        <v>1.2E-2</v>
      </c>
      <c r="S29" s="4">
        <v>1.6E-2</v>
      </c>
      <c r="T29" s="166"/>
    </row>
    <row r="30" spans="1:20" ht="14.25" customHeight="1">
      <c r="A30" s="270" t="s">
        <v>94</v>
      </c>
      <c r="B30" s="17" t="s">
        <v>89</v>
      </c>
      <c r="C30" s="158" t="s">
        <v>101</v>
      </c>
      <c r="D30" s="109">
        <v>-48.567377839455055</v>
      </c>
      <c r="E30" s="109">
        <v>-20.558455515000002</v>
      </c>
      <c r="F30" s="18">
        <v>2004</v>
      </c>
      <c r="G30" s="19" t="s">
        <v>90</v>
      </c>
      <c r="H30" s="18" t="s">
        <v>177</v>
      </c>
      <c r="I30" s="17" t="s">
        <v>91</v>
      </c>
      <c r="J30" s="158" t="s">
        <v>92</v>
      </c>
      <c r="K30" s="158">
        <v>2100</v>
      </c>
      <c r="L30" s="158">
        <v>0.01</v>
      </c>
      <c r="M30" s="18" t="s">
        <v>80</v>
      </c>
      <c r="N30" s="17" t="s">
        <v>88</v>
      </c>
      <c r="O30" s="10">
        <f>(100+100+92+88.5+91.5+93.9+100)/7</f>
        <v>95.128571428571419</v>
      </c>
      <c r="P30" s="42">
        <v>8.0000000000000036E-4</v>
      </c>
      <c r="Q30" s="4">
        <v>4.7000000000000002E-3</v>
      </c>
      <c r="R30" s="4">
        <v>9.1999999999999998E-3</v>
      </c>
      <c r="S30" s="4">
        <v>1.2E-2</v>
      </c>
    </row>
    <row r="31" spans="1:20" ht="14.25" customHeight="1">
      <c r="A31" s="270" t="s">
        <v>94</v>
      </c>
      <c r="B31" s="17" t="s">
        <v>89</v>
      </c>
      <c r="C31" s="158" t="s">
        <v>102</v>
      </c>
      <c r="D31" s="109">
        <v>-49.083000867090362</v>
      </c>
      <c r="E31" s="109">
        <v>-22.325122500000006</v>
      </c>
      <c r="F31" s="18">
        <v>2004</v>
      </c>
      <c r="G31" s="19" t="s">
        <v>90</v>
      </c>
      <c r="H31" s="18" t="s">
        <v>177</v>
      </c>
      <c r="I31" s="17" t="s">
        <v>91</v>
      </c>
      <c r="J31" s="158" t="s">
        <v>92</v>
      </c>
      <c r="K31" s="158">
        <v>1200</v>
      </c>
      <c r="L31" s="158">
        <v>0.01</v>
      </c>
      <c r="M31" s="18" t="s">
        <v>80</v>
      </c>
      <c r="N31" s="17" t="s">
        <v>88</v>
      </c>
      <c r="O31" s="10">
        <f>(100+100+99.5+99.5)/4</f>
        <v>99.75</v>
      </c>
      <c r="P31" s="42">
        <v>9.9999999999999915E-4</v>
      </c>
      <c r="Q31" s="4">
        <v>3.8999999999999998E-3</v>
      </c>
      <c r="R31" s="4">
        <v>8.9999999999999993E-3</v>
      </c>
      <c r="S31" s="4">
        <v>1.2699999999999999E-2</v>
      </c>
    </row>
    <row r="32" spans="1:20" ht="14.25" customHeight="1">
      <c r="A32" s="270" t="s">
        <v>94</v>
      </c>
      <c r="B32" s="17" t="s">
        <v>89</v>
      </c>
      <c r="C32" s="158" t="s">
        <v>103</v>
      </c>
      <c r="D32" s="109">
        <v>-48.441289384350434</v>
      </c>
      <c r="E32" s="109">
        <v>-22.888381500000008</v>
      </c>
      <c r="F32" s="18">
        <v>2004</v>
      </c>
      <c r="G32" s="19" t="s">
        <v>90</v>
      </c>
      <c r="H32" s="18" t="s">
        <v>177</v>
      </c>
      <c r="I32" s="17" t="s">
        <v>91</v>
      </c>
      <c r="J32" s="158" t="s">
        <v>92</v>
      </c>
      <c r="K32" s="158">
        <v>1500</v>
      </c>
      <c r="L32" s="158">
        <v>0.01</v>
      </c>
      <c r="M32" s="18" t="s">
        <v>80</v>
      </c>
      <c r="N32" s="17" t="s">
        <v>88</v>
      </c>
      <c r="O32" s="10">
        <f>(100+100+100+91.5+99)/5</f>
        <v>98.1</v>
      </c>
      <c r="P32" s="42">
        <v>8.9999999999999976E-4</v>
      </c>
      <c r="Q32" s="4">
        <v>4.5100000000000001E-3</v>
      </c>
      <c r="R32" s="4">
        <v>9.58E-3</v>
      </c>
      <c r="S32" s="4">
        <v>1.3100000000000001E-2</v>
      </c>
    </row>
    <row r="33" spans="1:19" ht="14.25" customHeight="1">
      <c r="A33" s="270" t="s">
        <v>94</v>
      </c>
      <c r="B33" s="17" t="s">
        <v>89</v>
      </c>
      <c r="C33" s="158" t="s">
        <v>104</v>
      </c>
      <c r="D33" s="109">
        <v>-47.06015627297316</v>
      </c>
      <c r="E33" s="109">
        <v>-22.907342500000002</v>
      </c>
      <c r="F33" s="18">
        <v>2004</v>
      </c>
      <c r="G33" s="19" t="s">
        <v>90</v>
      </c>
      <c r="H33" s="18" t="s">
        <v>177</v>
      </c>
      <c r="I33" s="17" t="s">
        <v>91</v>
      </c>
      <c r="J33" s="158" t="s">
        <v>92</v>
      </c>
      <c r="K33" s="158">
        <v>1500</v>
      </c>
      <c r="L33" s="158">
        <v>0.01</v>
      </c>
      <c r="M33" s="18" t="s">
        <v>80</v>
      </c>
      <c r="N33" s="17" t="s">
        <v>88</v>
      </c>
      <c r="O33" s="10">
        <f>(94.4+100+99.5+93.5+100)/5</f>
        <v>97.47999999999999</v>
      </c>
      <c r="P33" s="42">
        <v>5.9999999999999984E-4</v>
      </c>
      <c r="Q33" s="4">
        <v>5.1200000000000004E-3</v>
      </c>
      <c r="R33" s="4">
        <v>8.6E-3</v>
      </c>
      <c r="S33" s="4">
        <v>1.0999999999999999E-2</v>
      </c>
    </row>
    <row r="34" spans="1:19" ht="14.25" customHeight="1">
      <c r="A34" s="270" t="s">
        <v>94</v>
      </c>
      <c r="B34" s="17" t="s">
        <v>89</v>
      </c>
      <c r="C34" s="158" t="s">
        <v>105</v>
      </c>
      <c r="D34" s="109">
        <v>-46.570383182112749</v>
      </c>
      <c r="E34" s="109">
        <v>-23.567386500000001</v>
      </c>
      <c r="F34" s="18">
        <v>2004</v>
      </c>
      <c r="G34" s="19" t="s">
        <v>90</v>
      </c>
      <c r="H34" s="18" t="s">
        <v>177</v>
      </c>
      <c r="I34" s="17" t="s">
        <v>91</v>
      </c>
      <c r="J34" s="158" t="s">
        <v>92</v>
      </c>
      <c r="K34" s="158">
        <v>1500</v>
      </c>
      <c r="L34" s="158">
        <v>0.01</v>
      </c>
      <c r="M34" s="18" t="s">
        <v>80</v>
      </c>
      <c r="N34" s="17" t="s">
        <v>88</v>
      </c>
      <c r="O34" s="10">
        <f>(100+100+89.6+95.5+97.5)/5</f>
        <v>96.52000000000001</v>
      </c>
      <c r="P34" s="42">
        <v>6.9999999999999923E-4</v>
      </c>
      <c r="Q34" s="4">
        <v>4.4000000000000003E-3</v>
      </c>
      <c r="R34" s="4">
        <v>9.5999999999999992E-3</v>
      </c>
      <c r="S34" s="4">
        <v>1.2999999999999999E-2</v>
      </c>
    </row>
    <row r="35" spans="1:19" ht="14.25" customHeight="1">
      <c r="A35" s="270" t="s">
        <v>94</v>
      </c>
      <c r="B35" s="17" t="s">
        <v>89</v>
      </c>
      <c r="C35" s="158" t="s">
        <v>106</v>
      </c>
      <c r="D35" s="109">
        <v>-46.933372863488053</v>
      </c>
      <c r="E35" s="109">
        <v>-23.546934000000004</v>
      </c>
      <c r="F35" s="18">
        <v>2004</v>
      </c>
      <c r="G35" s="19" t="s">
        <v>90</v>
      </c>
      <c r="H35" s="18" t="s">
        <v>177</v>
      </c>
      <c r="I35" s="17" t="s">
        <v>91</v>
      </c>
      <c r="J35" s="158" t="s">
        <v>92</v>
      </c>
      <c r="K35" s="158">
        <v>1500</v>
      </c>
      <c r="L35" s="158">
        <v>0.01</v>
      </c>
      <c r="M35" s="18" t="s">
        <v>80</v>
      </c>
      <c r="N35" s="17" t="s">
        <v>88</v>
      </c>
      <c r="O35" s="5">
        <v>100</v>
      </c>
      <c r="P35" s="42">
        <v>4.9999999999999958E-4</v>
      </c>
      <c r="Q35" s="4">
        <v>4.1999999999999997E-3</v>
      </c>
      <c r="R35" s="4">
        <v>7.7999999999999996E-3</v>
      </c>
      <c r="S35" s="4">
        <v>0.01</v>
      </c>
    </row>
    <row r="36" spans="1:19" ht="14.25" customHeight="1">
      <c r="A36" s="270" t="s">
        <v>94</v>
      </c>
      <c r="B36" s="17" t="s">
        <v>89</v>
      </c>
      <c r="C36" s="158" t="s">
        <v>107</v>
      </c>
      <c r="D36" s="109">
        <v>-49.951645643103269</v>
      </c>
      <c r="E36" s="109">
        <v>-22.122743500000002</v>
      </c>
      <c r="F36" s="18">
        <v>2004</v>
      </c>
      <c r="G36" s="19" t="s">
        <v>90</v>
      </c>
      <c r="H36" s="18" t="s">
        <v>177</v>
      </c>
      <c r="I36" s="17" t="s">
        <v>91</v>
      </c>
      <c r="J36" s="158" t="s">
        <v>92</v>
      </c>
      <c r="K36" s="158">
        <v>1200</v>
      </c>
      <c r="L36" s="158">
        <v>0.01</v>
      </c>
      <c r="M36" s="18" t="s">
        <v>80</v>
      </c>
      <c r="N36" s="17" t="s">
        <v>88</v>
      </c>
      <c r="O36" s="10">
        <f>(98.5+100+100+100)/4</f>
        <v>99.625</v>
      </c>
      <c r="P36" s="42">
        <v>8.0000000000000036E-4</v>
      </c>
      <c r="Q36" s="4">
        <v>3.5999999999999999E-3</v>
      </c>
      <c r="R36" s="4">
        <v>8.2000000000000007E-3</v>
      </c>
      <c r="S36" s="4">
        <v>1.2E-2</v>
      </c>
    </row>
    <row r="37" spans="1:19" ht="14.25" customHeight="1">
      <c r="A37" s="270" t="s">
        <v>94</v>
      </c>
      <c r="B37" s="17" t="s">
        <v>89</v>
      </c>
      <c r="C37" s="158" t="s">
        <v>108</v>
      </c>
      <c r="D37" s="109">
        <v>-51.386765581912492</v>
      </c>
      <c r="E37" s="109">
        <v>-24.494251427999906</v>
      </c>
      <c r="F37" s="18">
        <v>2004</v>
      </c>
      <c r="G37" s="19" t="s">
        <v>90</v>
      </c>
      <c r="H37" s="18" t="s">
        <v>177</v>
      </c>
      <c r="I37" s="17" t="s">
        <v>91</v>
      </c>
      <c r="J37" s="158" t="s">
        <v>92</v>
      </c>
      <c r="K37" s="158">
        <v>1200</v>
      </c>
      <c r="L37" s="158">
        <v>0.01</v>
      </c>
      <c r="M37" s="18" t="s">
        <v>80</v>
      </c>
      <c r="N37" s="17" t="s">
        <v>88</v>
      </c>
      <c r="O37" s="10">
        <f>(100+100+98.5+95.5)/4</f>
        <v>98.5</v>
      </c>
      <c r="P37" s="42">
        <v>4.0000000000000018E-4</v>
      </c>
      <c r="Q37" s="4">
        <v>4.4999999999999997E-3</v>
      </c>
      <c r="R37" s="4">
        <v>8.0000000000000002E-3</v>
      </c>
      <c r="S37" s="4">
        <v>0.01</v>
      </c>
    </row>
    <row r="38" spans="1:19" ht="14.25" customHeight="1">
      <c r="A38" s="270" t="s">
        <v>94</v>
      </c>
      <c r="B38" s="17" t="s">
        <v>89</v>
      </c>
      <c r="C38" s="158" t="s">
        <v>109</v>
      </c>
      <c r="D38" s="109">
        <v>-47.805475915541528</v>
      </c>
      <c r="E38" s="109">
        <v>-21.184834500000004</v>
      </c>
      <c r="F38" s="18">
        <v>2004</v>
      </c>
      <c r="G38" s="19" t="s">
        <v>90</v>
      </c>
      <c r="H38" s="18" t="s">
        <v>177</v>
      </c>
      <c r="I38" s="17" t="s">
        <v>91</v>
      </c>
      <c r="J38" s="158" t="s">
        <v>92</v>
      </c>
      <c r="K38" s="158">
        <v>1500</v>
      </c>
      <c r="L38" s="158">
        <v>0.01</v>
      </c>
      <c r="M38" s="18" t="s">
        <v>80</v>
      </c>
      <c r="N38" s="17" t="s">
        <v>88</v>
      </c>
      <c r="O38" s="10">
        <f>(94.5+100+100+100+99)/5</f>
        <v>98.7</v>
      </c>
      <c r="P38" s="42">
        <v>4.9999999999999958E-4</v>
      </c>
      <c r="Q38" s="4">
        <v>4.4000000000000003E-3</v>
      </c>
      <c r="R38" s="4">
        <v>8.0999999999999996E-3</v>
      </c>
      <c r="S38" s="4">
        <v>0.01</v>
      </c>
    </row>
    <row r="39" spans="1:19" ht="14.25" customHeight="1">
      <c r="A39" s="270" t="s">
        <v>94</v>
      </c>
      <c r="B39" s="17" t="s">
        <v>89</v>
      </c>
      <c r="C39" s="158" t="s">
        <v>110</v>
      </c>
      <c r="D39" s="109">
        <v>-46.331370849190684</v>
      </c>
      <c r="E39" s="109">
        <v>-23.933737500000003</v>
      </c>
      <c r="F39" s="18">
        <v>2004</v>
      </c>
      <c r="G39" s="19" t="s">
        <v>90</v>
      </c>
      <c r="H39" s="18" t="s">
        <v>177</v>
      </c>
      <c r="I39" s="17" t="s">
        <v>91</v>
      </c>
      <c r="J39" s="158" t="s">
        <v>92</v>
      </c>
      <c r="K39" s="158">
        <v>2100</v>
      </c>
      <c r="L39" s="158">
        <v>0.01</v>
      </c>
      <c r="M39" s="18" t="s">
        <v>80</v>
      </c>
      <c r="N39" s="17" t="s">
        <v>88</v>
      </c>
      <c r="O39" s="10">
        <f>(100+100+100+69.5+96.5+68+98.5)/7</f>
        <v>90.357142857142861</v>
      </c>
      <c r="P39" s="42">
        <v>2.9999999999999992E-4</v>
      </c>
      <c r="Q39" s="4">
        <v>5.8999999999999999E-3</v>
      </c>
      <c r="R39" s="4">
        <v>0.01</v>
      </c>
      <c r="S39" s="4">
        <v>1.2999999999999999E-2</v>
      </c>
    </row>
    <row r="40" spans="1:19" ht="14.25" customHeight="1">
      <c r="A40" s="270" t="s">
        <v>94</v>
      </c>
      <c r="B40" s="17" t="s">
        <v>89</v>
      </c>
      <c r="C40" s="158" t="s">
        <v>111</v>
      </c>
      <c r="D40" s="109">
        <v>-47.889237684691636</v>
      </c>
      <c r="E40" s="109">
        <v>-22.015998500000002</v>
      </c>
      <c r="F40" s="18">
        <v>2004</v>
      </c>
      <c r="G40" s="19" t="s">
        <v>90</v>
      </c>
      <c r="H40" s="18" t="s">
        <v>177</v>
      </c>
      <c r="I40" s="17" t="s">
        <v>91</v>
      </c>
      <c r="J40" s="158" t="s">
        <v>92</v>
      </c>
      <c r="K40" s="158">
        <v>1200</v>
      </c>
      <c r="L40" s="158">
        <v>0.01</v>
      </c>
      <c r="M40" s="18" t="s">
        <v>80</v>
      </c>
      <c r="N40" s="17" t="s">
        <v>88</v>
      </c>
      <c r="O40" s="10">
        <f>(100+99.4+100+98.9)/4</f>
        <v>99.574999999999989</v>
      </c>
      <c r="P40" s="42">
        <v>9.9999999999999915E-4</v>
      </c>
      <c r="Q40" s="4">
        <v>2.4099999999999998E-3</v>
      </c>
      <c r="R40" s="4">
        <v>8.09E-3</v>
      </c>
      <c r="S40" s="4">
        <v>1.3350000000000001E-2</v>
      </c>
    </row>
    <row r="41" spans="1:19" ht="14.25" customHeight="1">
      <c r="A41" s="270" t="s">
        <v>94</v>
      </c>
      <c r="B41" s="17" t="s">
        <v>89</v>
      </c>
      <c r="C41" s="158" t="s">
        <v>112</v>
      </c>
      <c r="D41" s="109">
        <v>-49.381347685025794</v>
      </c>
      <c r="E41" s="109">
        <v>-20.812636500000004</v>
      </c>
      <c r="F41" s="18">
        <v>2004</v>
      </c>
      <c r="G41" s="19" t="s">
        <v>90</v>
      </c>
      <c r="H41" s="18" t="s">
        <v>177</v>
      </c>
      <c r="I41" s="17" t="s">
        <v>91</v>
      </c>
      <c r="J41" s="158" t="s">
        <v>92</v>
      </c>
      <c r="K41" s="158">
        <v>1500</v>
      </c>
      <c r="L41" s="158">
        <v>0.01</v>
      </c>
      <c r="M41" s="18" t="s">
        <v>80</v>
      </c>
      <c r="N41" s="17" t="s">
        <v>88</v>
      </c>
      <c r="O41" s="10">
        <f>(100+99.5+95+75+97.5)/5</f>
        <v>93.4</v>
      </c>
      <c r="P41" s="42">
        <v>5.0000000000000044E-4</v>
      </c>
      <c r="Q41" s="4">
        <v>6.1000000000000004E-3</v>
      </c>
      <c r="R41" s="4">
        <v>0.01</v>
      </c>
      <c r="S41" s="4">
        <v>1.2999999999999999E-2</v>
      </c>
    </row>
    <row r="42" spans="1:19" ht="14.25" customHeight="1">
      <c r="A42" s="270" t="s">
        <v>94</v>
      </c>
      <c r="B42" s="17" t="s">
        <v>89</v>
      </c>
      <c r="C42" s="158" t="s">
        <v>113</v>
      </c>
      <c r="D42" s="109">
        <v>-45.402680140543957</v>
      </c>
      <c r="E42" s="109">
        <v>-23.806687652148753</v>
      </c>
      <c r="F42" s="18">
        <v>2004</v>
      </c>
      <c r="G42" s="19" t="s">
        <v>90</v>
      </c>
      <c r="H42" s="18" t="s">
        <v>177</v>
      </c>
      <c r="I42" s="17" t="s">
        <v>91</v>
      </c>
      <c r="J42" s="158" t="s">
        <v>92</v>
      </c>
      <c r="K42" s="158">
        <v>1200</v>
      </c>
      <c r="L42" s="158">
        <v>0.01</v>
      </c>
      <c r="M42" s="18" t="s">
        <v>80</v>
      </c>
      <c r="N42" s="17" t="s">
        <v>88</v>
      </c>
      <c r="O42" s="10">
        <f>(100+95.1+97.8+91.2)/4</f>
        <v>96.024999999999991</v>
      </c>
      <c r="P42" s="42">
        <v>6.9999999999999923E-4</v>
      </c>
      <c r="Q42" s="4">
        <v>5.0000000000000001E-3</v>
      </c>
      <c r="R42" s="4">
        <v>9.5999999999999992E-3</v>
      </c>
      <c r="S42" s="4">
        <v>1.2999999999999999E-2</v>
      </c>
    </row>
    <row r="43" spans="1:19" ht="14.25" customHeight="1">
      <c r="A43" s="270" t="s">
        <v>94</v>
      </c>
      <c r="B43" s="17" t="s">
        <v>89</v>
      </c>
      <c r="C43" s="158" t="s">
        <v>114</v>
      </c>
      <c r="D43" s="109">
        <v>-47.457853253204043</v>
      </c>
      <c r="E43" s="109">
        <v>-23.499323</v>
      </c>
      <c r="F43" s="18">
        <v>2004</v>
      </c>
      <c r="G43" s="19" t="s">
        <v>90</v>
      </c>
      <c r="H43" s="18" t="s">
        <v>177</v>
      </c>
      <c r="I43" s="17" t="s">
        <v>91</v>
      </c>
      <c r="J43" s="158" t="s">
        <v>92</v>
      </c>
      <c r="K43" s="158">
        <v>1200</v>
      </c>
      <c r="L43" s="158">
        <v>0.01</v>
      </c>
      <c r="M43" s="18" t="s">
        <v>80</v>
      </c>
      <c r="N43" s="17" t="s">
        <v>88</v>
      </c>
      <c r="O43" s="10">
        <f>(87.1+81.5+96.5+97)/4</f>
        <v>90.525000000000006</v>
      </c>
      <c r="P43" s="42">
        <v>7.0000000000000097E-4</v>
      </c>
      <c r="Q43" s="4">
        <v>4.4999999999999997E-3</v>
      </c>
      <c r="R43" s="4">
        <v>9.9000000000000008E-3</v>
      </c>
      <c r="S43" s="4">
        <v>1.4E-2</v>
      </c>
    </row>
    <row r="44" spans="1:19" ht="14.25" customHeight="1">
      <c r="A44" s="270" t="s">
        <v>94</v>
      </c>
      <c r="B44" s="17" t="s">
        <v>89</v>
      </c>
      <c r="C44" s="17" t="s">
        <v>115</v>
      </c>
      <c r="D44" s="109">
        <v>-60.670532672965052</v>
      </c>
      <c r="E44" s="109">
        <v>2.8166819191043904</v>
      </c>
      <c r="F44" s="18">
        <v>2004</v>
      </c>
      <c r="G44" s="19" t="s">
        <v>90</v>
      </c>
      <c r="H44" s="18" t="s">
        <v>177</v>
      </c>
      <c r="I44" s="17" t="s">
        <v>91</v>
      </c>
      <c r="J44" s="158" t="s">
        <v>92</v>
      </c>
      <c r="K44" s="158">
        <v>1200</v>
      </c>
      <c r="L44" s="158">
        <v>0.01</v>
      </c>
      <c r="M44" s="18" t="s">
        <v>80</v>
      </c>
      <c r="N44" s="17" t="s">
        <v>88</v>
      </c>
      <c r="O44" s="10">
        <f>(98.5+96+95.5+95.6)/4</f>
        <v>96.4</v>
      </c>
      <c r="P44" s="42">
        <v>6.9999999999999923E-4</v>
      </c>
      <c r="Q44" s="4">
        <v>6.7999999999999996E-3</v>
      </c>
      <c r="R44" s="4">
        <v>1.1599999999999999E-2</v>
      </c>
      <c r="S44" s="4">
        <v>1.44E-2</v>
      </c>
    </row>
    <row r="45" spans="1:19" ht="14.25" customHeight="1">
      <c r="A45" s="270" t="s">
        <v>94</v>
      </c>
      <c r="B45" s="17" t="s">
        <v>89</v>
      </c>
      <c r="C45" s="158" t="s">
        <v>116</v>
      </c>
      <c r="D45" s="109">
        <v>-38.589927555043182</v>
      </c>
      <c r="E45" s="109">
        <v>-3.7238050350000007</v>
      </c>
      <c r="F45" s="18">
        <v>2004</v>
      </c>
      <c r="G45" s="19" t="s">
        <v>90</v>
      </c>
      <c r="H45" s="18" t="s">
        <v>177</v>
      </c>
      <c r="I45" s="17" t="s">
        <v>91</v>
      </c>
      <c r="J45" s="158" t="s">
        <v>92</v>
      </c>
      <c r="K45" s="158">
        <v>1800</v>
      </c>
      <c r="L45" s="158">
        <v>0.01</v>
      </c>
      <c r="M45" s="18" t="s">
        <v>80</v>
      </c>
      <c r="N45" s="17" t="s">
        <v>88</v>
      </c>
      <c r="O45" s="10">
        <f>(62+100+100+100+100+61.5)/6</f>
        <v>87.25</v>
      </c>
      <c r="P45" s="42">
        <v>2E-3</v>
      </c>
      <c r="Q45" s="4">
        <v>7.1000000000000004E-3</v>
      </c>
      <c r="R45" s="4">
        <v>1.6E-2</v>
      </c>
      <c r="S45" s="4">
        <v>2.1999999999999999E-2</v>
      </c>
    </row>
    <row r="46" spans="1:19" ht="14.25" customHeight="1">
      <c r="A46" s="270" t="s">
        <v>94</v>
      </c>
      <c r="B46" s="17" t="s">
        <v>89</v>
      </c>
      <c r="C46" s="158" t="s">
        <v>117</v>
      </c>
      <c r="D46" s="109">
        <v>-40.503552159443394</v>
      </c>
      <c r="E46" s="109">
        <v>-9.4107170962278648</v>
      </c>
      <c r="F46" s="18">
        <v>2004</v>
      </c>
      <c r="G46" s="19" t="s">
        <v>90</v>
      </c>
      <c r="H46" s="18" t="s">
        <v>177</v>
      </c>
      <c r="I46" s="17" t="s">
        <v>91</v>
      </c>
      <c r="J46" s="158" t="s">
        <v>92</v>
      </c>
      <c r="K46" s="158">
        <v>1200</v>
      </c>
      <c r="L46" s="158">
        <v>0.01</v>
      </c>
      <c r="M46" s="18" t="s">
        <v>80</v>
      </c>
      <c r="N46" s="17" t="s">
        <v>88</v>
      </c>
      <c r="O46" s="10">
        <f>(11.4+23+41+63.5)/4</f>
        <v>34.725000000000001</v>
      </c>
      <c r="P46" s="42">
        <v>1.0000000000000009E-3</v>
      </c>
      <c r="Q46" s="4">
        <v>9.9000000000000008E-3</v>
      </c>
      <c r="R46" s="4">
        <v>1.7000000000000001E-2</v>
      </c>
      <c r="S46" s="4">
        <v>0.02</v>
      </c>
    </row>
    <row r="47" spans="1:19" ht="14.25" customHeight="1">
      <c r="A47" s="270" t="s">
        <v>94</v>
      </c>
      <c r="B47" s="17" t="s">
        <v>89</v>
      </c>
      <c r="C47" s="158" t="s">
        <v>118</v>
      </c>
      <c r="D47" s="109">
        <v>-51.057405457035955</v>
      </c>
      <c r="E47" s="109">
        <v>3.8951010000000008E-2</v>
      </c>
      <c r="F47" s="18">
        <v>2004</v>
      </c>
      <c r="G47" s="19" t="s">
        <v>90</v>
      </c>
      <c r="H47" s="17" t="s">
        <v>177</v>
      </c>
      <c r="I47" s="17" t="s">
        <v>91</v>
      </c>
      <c r="J47" s="158" t="s">
        <v>92</v>
      </c>
      <c r="K47" s="158">
        <v>1200</v>
      </c>
      <c r="L47" s="158">
        <v>0.01</v>
      </c>
      <c r="M47" s="18" t="s">
        <v>80</v>
      </c>
      <c r="N47" s="17" t="s">
        <v>88</v>
      </c>
      <c r="O47" s="10">
        <f>(88.5+69+84+55.5)/4</f>
        <v>74.25</v>
      </c>
      <c r="P47" s="42">
        <v>1.0000000000000009E-3</v>
      </c>
      <c r="Q47" s="4">
        <v>7.9000000000000008E-3</v>
      </c>
      <c r="R47" s="4">
        <v>1.4E-2</v>
      </c>
      <c r="S47" s="4">
        <v>1.7999999999999999E-2</v>
      </c>
    </row>
    <row r="48" spans="1:19" ht="14.25" customHeight="1">
      <c r="A48" s="270" t="s">
        <v>94</v>
      </c>
      <c r="B48" s="17" t="s">
        <v>89</v>
      </c>
      <c r="C48" s="158" t="s">
        <v>119</v>
      </c>
      <c r="D48" s="109">
        <v>-60.023335181061036</v>
      </c>
      <c r="E48" s="109">
        <v>-3.1346914912019459</v>
      </c>
      <c r="F48" s="18">
        <v>2004</v>
      </c>
      <c r="G48" s="19" t="s">
        <v>90</v>
      </c>
      <c r="H48" s="18" t="s">
        <v>177</v>
      </c>
      <c r="I48" s="17" t="s">
        <v>91</v>
      </c>
      <c r="J48" s="158" t="s">
        <v>92</v>
      </c>
      <c r="K48" s="158">
        <v>1200</v>
      </c>
      <c r="L48" s="158">
        <v>0.01</v>
      </c>
      <c r="M48" s="18" t="s">
        <v>80</v>
      </c>
      <c r="N48" s="17" t="s">
        <v>88</v>
      </c>
      <c r="O48" s="5">
        <v>100</v>
      </c>
      <c r="P48" s="42">
        <v>2.9999999999999992E-4</v>
      </c>
      <c r="Q48" s="4">
        <v>5.1999999999999998E-3</v>
      </c>
      <c r="R48" s="4">
        <v>8.2000000000000007E-3</v>
      </c>
      <c r="S48" s="4">
        <v>9.9000000000000008E-3</v>
      </c>
    </row>
    <row r="49" spans="1:20" ht="14.25" customHeight="1">
      <c r="A49" s="270" t="s">
        <v>94</v>
      </c>
      <c r="B49" s="17" t="s">
        <v>89</v>
      </c>
      <c r="C49" s="17" t="s">
        <v>120</v>
      </c>
      <c r="D49" s="109">
        <v>-42.805270458223347</v>
      </c>
      <c r="E49" s="109">
        <v>-5.0863419523217006</v>
      </c>
      <c r="F49" s="17">
        <v>2004</v>
      </c>
      <c r="G49" s="19" t="s">
        <v>90</v>
      </c>
      <c r="H49" s="18" t="s">
        <v>177</v>
      </c>
      <c r="I49" s="17" t="s">
        <v>91</v>
      </c>
      <c r="J49" s="158" t="s">
        <v>92</v>
      </c>
      <c r="K49" s="158">
        <v>1200</v>
      </c>
      <c r="L49" s="158">
        <v>0.01</v>
      </c>
      <c r="M49" s="18" t="s">
        <v>80</v>
      </c>
      <c r="N49" s="17" t="s">
        <v>88</v>
      </c>
      <c r="O49" s="28">
        <f>(52.5+52+72.5+72.5)/4</f>
        <v>62.375</v>
      </c>
      <c r="P49" s="42">
        <v>0</v>
      </c>
      <c r="Q49" s="4">
        <v>7.6E-3</v>
      </c>
      <c r="R49" s="4">
        <v>1.2999999999999999E-2</v>
      </c>
      <c r="S49" s="4">
        <v>1.7000000000000001E-2</v>
      </c>
    </row>
    <row r="50" spans="1:20" s="166" customFormat="1" ht="14.25" customHeight="1">
      <c r="A50" s="270" t="s">
        <v>94</v>
      </c>
      <c r="B50" s="17" t="s">
        <v>89</v>
      </c>
      <c r="C50" s="17" t="s">
        <v>121</v>
      </c>
      <c r="D50" s="109">
        <v>-35.090646545537375</v>
      </c>
      <c r="E50" s="109">
        <v>-8.7046892785391865</v>
      </c>
      <c r="F50" s="17">
        <v>2004</v>
      </c>
      <c r="G50" s="19" t="s">
        <v>90</v>
      </c>
      <c r="H50" s="18" t="s">
        <v>177</v>
      </c>
      <c r="I50" s="17" t="s">
        <v>91</v>
      </c>
      <c r="J50" s="158" t="s">
        <v>92</v>
      </c>
      <c r="K50" s="158">
        <v>1800</v>
      </c>
      <c r="L50" s="158">
        <v>0.01</v>
      </c>
      <c r="M50" s="17" t="s">
        <v>80</v>
      </c>
      <c r="N50" s="17" t="s">
        <v>88</v>
      </c>
      <c r="O50" s="28">
        <f>(78.5+56+87+97.5+76+95)/6</f>
        <v>81.666666666666671</v>
      </c>
      <c r="P50" s="42">
        <v>5.0000000000000044E-4</v>
      </c>
      <c r="Q50" s="4">
        <v>6.0000000000000001E-3</v>
      </c>
      <c r="R50" s="4">
        <v>9.7000000000000003E-3</v>
      </c>
      <c r="S50" s="4">
        <v>1.18E-2</v>
      </c>
      <c r="T50" s="26"/>
    </row>
    <row r="51" spans="1:20" ht="14.25" customHeight="1">
      <c r="A51" s="270" t="s">
        <v>94</v>
      </c>
      <c r="B51" s="17" t="s">
        <v>89</v>
      </c>
      <c r="C51" s="17" t="s">
        <v>122</v>
      </c>
      <c r="D51" s="109">
        <v>-39.273108952008137</v>
      </c>
      <c r="E51" s="109">
        <v>-14.789039548603002</v>
      </c>
      <c r="F51" s="17">
        <v>2004</v>
      </c>
      <c r="G51" s="19" t="s">
        <v>90</v>
      </c>
      <c r="H51" s="18" t="s">
        <v>177</v>
      </c>
      <c r="I51" s="17" t="s">
        <v>91</v>
      </c>
      <c r="J51" s="158" t="s">
        <v>92</v>
      </c>
      <c r="K51" s="158">
        <v>1800</v>
      </c>
      <c r="L51" s="158">
        <v>0.01</v>
      </c>
      <c r="M51" s="17" t="s">
        <v>80</v>
      </c>
      <c r="N51" s="17" t="s">
        <v>88</v>
      </c>
      <c r="O51" s="28">
        <f>(39.3+43+84+80+35.8+70)/6</f>
        <v>58.683333333333337</v>
      </c>
      <c r="P51" s="42">
        <v>1.0000000000000009E-3</v>
      </c>
      <c r="Q51" s="4">
        <v>1.0999999999999999E-2</v>
      </c>
      <c r="R51" s="4">
        <v>1.4E-2</v>
      </c>
      <c r="S51" s="4">
        <v>1.6E-2</v>
      </c>
    </row>
    <row r="52" spans="1:20" ht="14.25" customHeight="1">
      <c r="A52" s="270" t="s">
        <v>94</v>
      </c>
      <c r="B52" s="17" t="s">
        <v>89</v>
      </c>
      <c r="C52" s="17" t="s">
        <v>123</v>
      </c>
      <c r="D52" s="109">
        <v>-38.488061484007851</v>
      </c>
      <c r="E52" s="109">
        <v>-13.014771911532753</v>
      </c>
      <c r="F52" s="17">
        <v>2004</v>
      </c>
      <c r="G52" s="19" t="s">
        <v>90</v>
      </c>
      <c r="H52" s="18" t="s">
        <v>177</v>
      </c>
      <c r="I52" s="17" t="s">
        <v>91</v>
      </c>
      <c r="J52" s="158" t="s">
        <v>92</v>
      </c>
      <c r="K52" s="158">
        <v>1200</v>
      </c>
      <c r="L52" s="158">
        <v>0.01</v>
      </c>
      <c r="M52" s="17" t="s">
        <v>80</v>
      </c>
      <c r="N52" s="17" t="s">
        <v>88</v>
      </c>
      <c r="O52" s="28">
        <f>(77.5+34+20.4+55.5)/4</f>
        <v>46.85</v>
      </c>
      <c r="P52" s="42">
        <v>0</v>
      </c>
      <c r="Q52" s="4">
        <v>9.9000000000000008E-3</v>
      </c>
      <c r="R52" s="4">
        <v>1.6E-2</v>
      </c>
      <c r="S52" s="4">
        <v>0.02</v>
      </c>
      <c r="T52" s="166"/>
    </row>
    <row r="53" spans="1:20" ht="14.25" customHeight="1" thickBot="1">
      <c r="A53" s="11" t="s">
        <v>94</v>
      </c>
      <c r="B53" s="21" t="s">
        <v>89</v>
      </c>
      <c r="C53" s="21" t="s">
        <v>96</v>
      </c>
      <c r="D53" s="110">
        <v>-41.778170592024502</v>
      </c>
      <c r="E53" s="110">
        <v>-2.9033601445089237</v>
      </c>
      <c r="F53" s="21">
        <v>2004</v>
      </c>
      <c r="G53" s="22" t="s">
        <v>90</v>
      </c>
      <c r="H53" s="21" t="s">
        <v>177</v>
      </c>
      <c r="I53" s="21" t="s">
        <v>91</v>
      </c>
      <c r="J53" s="11" t="s">
        <v>92</v>
      </c>
      <c r="K53" s="11">
        <v>1200</v>
      </c>
      <c r="L53" s="11">
        <v>0.01</v>
      </c>
      <c r="M53" s="21" t="s">
        <v>80</v>
      </c>
      <c r="N53" s="21" t="s">
        <v>88</v>
      </c>
      <c r="O53" s="25">
        <f>(68+30+25+47.5)/4</f>
        <v>42.625</v>
      </c>
      <c r="P53" s="44">
        <v>0</v>
      </c>
      <c r="Q53" s="29">
        <v>9.4000000000000004E-3</v>
      </c>
      <c r="R53" s="29">
        <v>1.2999999999999999E-2</v>
      </c>
      <c r="S53" s="29">
        <v>1.4999999999999999E-2</v>
      </c>
    </row>
    <row r="54" spans="1:20" ht="14.25" customHeight="1">
      <c r="A54" s="270" t="s">
        <v>94</v>
      </c>
      <c r="B54" s="17" t="s">
        <v>89</v>
      </c>
      <c r="C54" s="20" t="s">
        <v>124</v>
      </c>
      <c r="D54" s="261"/>
      <c r="E54" s="262"/>
      <c r="F54" s="18">
        <v>2004</v>
      </c>
      <c r="G54" s="19" t="s">
        <v>90</v>
      </c>
      <c r="H54" s="18" t="s">
        <v>177</v>
      </c>
      <c r="I54" s="17" t="s">
        <v>91</v>
      </c>
      <c r="J54" s="158" t="s">
        <v>93</v>
      </c>
      <c r="K54" s="158">
        <v>1200</v>
      </c>
      <c r="L54" s="158">
        <v>0.2</v>
      </c>
      <c r="M54" s="18" t="s">
        <v>80</v>
      </c>
      <c r="N54" s="17" t="s">
        <v>88</v>
      </c>
      <c r="O54" s="76">
        <v>100</v>
      </c>
      <c r="P54" s="42">
        <v>3.9999999999999897E-3</v>
      </c>
      <c r="Q54" s="42">
        <v>3.5999999999999997E-2</v>
      </c>
      <c r="R54" s="42">
        <v>7.1999999999999995E-2</v>
      </c>
      <c r="S54" s="42">
        <v>9.5000000000000001E-2</v>
      </c>
    </row>
    <row r="55" spans="1:20" ht="14.25" customHeight="1">
      <c r="A55" s="270" t="s">
        <v>94</v>
      </c>
      <c r="B55" s="17" t="s">
        <v>89</v>
      </c>
      <c r="C55" s="158" t="s">
        <v>100</v>
      </c>
      <c r="D55" s="109">
        <v>-50.439226072752582</v>
      </c>
      <c r="E55" s="109">
        <v>-21.205476000000004</v>
      </c>
      <c r="F55" s="18">
        <v>2004</v>
      </c>
      <c r="G55" s="19" t="s">
        <v>90</v>
      </c>
      <c r="H55" s="18" t="s">
        <v>177</v>
      </c>
      <c r="I55" s="17" t="s">
        <v>91</v>
      </c>
      <c r="J55" s="158" t="s">
        <v>93</v>
      </c>
      <c r="K55" s="17">
        <v>1500</v>
      </c>
      <c r="L55" s="158">
        <v>0.2</v>
      </c>
      <c r="M55" s="18" t="s">
        <v>80</v>
      </c>
      <c r="N55" s="17" t="s">
        <v>88</v>
      </c>
      <c r="O55" s="10">
        <f>(100+100+97.5+99+98.5)/5</f>
        <v>99</v>
      </c>
      <c r="P55" s="42">
        <v>1.0000000000000009E-2</v>
      </c>
      <c r="Q55" s="42">
        <v>6.7000000000000004E-2</v>
      </c>
      <c r="R55" s="42">
        <v>0.14000000000000001</v>
      </c>
      <c r="S55" s="42">
        <v>0.2</v>
      </c>
    </row>
    <row r="56" spans="1:20" ht="14.25" customHeight="1">
      <c r="A56" s="270" t="s">
        <v>94</v>
      </c>
      <c r="B56" s="17" t="s">
        <v>89</v>
      </c>
      <c r="C56" s="158" t="s">
        <v>101</v>
      </c>
      <c r="D56" s="109">
        <v>-48.567377839455055</v>
      </c>
      <c r="E56" s="109">
        <v>-20.558455515000002</v>
      </c>
      <c r="F56" s="18">
        <v>2004</v>
      </c>
      <c r="G56" s="19" t="s">
        <v>90</v>
      </c>
      <c r="H56" s="18" t="s">
        <v>177</v>
      </c>
      <c r="I56" s="17" t="s">
        <v>91</v>
      </c>
      <c r="J56" s="158" t="s">
        <v>93</v>
      </c>
      <c r="K56" s="17">
        <v>1500</v>
      </c>
      <c r="L56" s="158">
        <v>0.2</v>
      </c>
      <c r="M56" s="18" t="s">
        <v>80</v>
      </c>
      <c r="N56" s="17" t="s">
        <v>88</v>
      </c>
      <c r="O56" s="10">
        <f>(100+100+95+100+100)/5</f>
        <v>99</v>
      </c>
      <c r="P56" s="42">
        <v>1.0000000000000009E-2</v>
      </c>
      <c r="Q56" s="42">
        <v>7.6999999999999999E-2</v>
      </c>
      <c r="R56" s="42">
        <v>0.16</v>
      </c>
      <c r="S56" s="42">
        <v>0.22</v>
      </c>
    </row>
    <row r="57" spans="1:20" ht="14.25" customHeight="1">
      <c r="A57" s="270" t="s">
        <v>94</v>
      </c>
      <c r="B57" s="17" t="s">
        <v>89</v>
      </c>
      <c r="C57" s="158" t="s">
        <v>102</v>
      </c>
      <c r="D57" s="109">
        <v>-49.083000867090362</v>
      </c>
      <c r="E57" s="109">
        <v>-22.325122500000006</v>
      </c>
      <c r="F57" s="18">
        <v>2004</v>
      </c>
      <c r="G57" s="19" t="s">
        <v>90</v>
      </c>
      <c r="H57" s="18" t="s">
        <v>177</v>
      </c>
      <c r="I57" s="17" t="s">
        <v>91</v>
      </c>
      <c r="J57" s="158" t="s">
        <v>93</v>
      </c>
      <c r="K57" s="17">
        <v>1200</v>
      </c>
      <c r="L57" s="158">
        <v>0.2</v>
      </c>
      <c r="M57" s="18" t="s">
        <v>80</v>
      </c>
      <c r="N57" s="17" t="s">
        <v>88</v>
      </c>
      <c r="O57" s="10">
        <f>(100+100+99.5+100)/4</f>
        <v>99.875</v>
      </c>
      <c r="P57" s="42">
        <v>6.0000000000000053E-3</v>
      </c>
      <c r="Q57" s="42">
        <v>4.4999999999999998E-2</v>
      </c>
      <c r="R57" s="42">
        <v>9.6000000000000002E-2</v>
      </c>
      <c r="S57" s="42">
        <v>0.13</v>
      </c>
    </row>
    <row r="58" spans="1:20" ht="14.25" customHeight="1">
      <c r="A58" s="270" t="s">
        <v>94</v>
      </c>
      <c r="B58" s="17" t="s">
        <v>89</v>
      </c>
      <c r="C58" s="158" t="s">
        <v>103</v>
      </c>
      <c r="D58" s="109">
        <v>-48.441289384350434</v>
      </c>
      <c r="E58" s="109">
        <v>-22.888381500000008</v>
      </c>
      <c r="F58" s="18">
        <v>2004</v>
      </c>
      <c r="G58" s="19" t="s">
        <v>90</v>
      </c>
      <c r="H58" s="18" t="s">
        <v>177</v>
      </c>
      <c r="I58" s="17" t="s">
        <v>91</v>
      </c>
      <c r="J58" s="158" t="s">
        <v>93</v>
      </c>
      <c r="K58" s="17">
        <v>1200</v>
      </c>
      <c r="L58" s="158">
        <v>0.2</v>
      </c>
      <c r="M58" s="18" t="s">
        <v>80</v>
      </c>
      <c r="N58" s="17" t="s">
        <v>88</v>
      </c>
      <c r="O58" s="10">
        <f>(100+100+100+98.5)/4</f>
        <v>99.625</v>
      </c>
      <c r="P58" s="42">
        <v>1.0000000000000009E-2</v>
      </c>
      <c r="Q58" s="42">
        <v>7.0000000000000007E-2</v>
      </c>
      <c r="R58" s="42">
        <v>0.13</v>
      </c>
      <c r="S58" s="42">
        <v>0.17</v>
      </c>
    </row>
    <row r="59" spans="1:20" ht="14.25" customHeight="1">
      <c r="A59" s="270" t="s">
        <v>94</v>
      </c>
      <c r="B59" s="17" t="s">
        <v>89</v>
      </c>
      <c r="C59" s="158" t="s">
        <v>104</v>
      </c>
      <c r="D59" s="109">
        <v>-47.06015627297316</v>
      </c>
      <c r="E59" s="109">
        <v>-22.907342500000002</v>
      </c>
      <c r="F59" s="18">
        <v>2004</v>
      </c>
      <c r="G59" s="19" t="s">
        <v>90</v>
      </c>
      <c r="H59" s="18" t="s">
        <v>177</v>
      </c>
      <c r="I59" s="17" t="s">
        <v>91</v>
      </c>
      <c r="J59" s="158" t="s">
        <v>93</v>
      </c>
      <c r="K59" s="17">
        <v>1500</v>
      </c>
      <c r="L59" s="158">
        <v>0.2</v>
      </c>
      <c r="M59" s="18" t="s">
        <v>80</v>
      </c>
      <c r="N59" s="17" t="s">
        <v>88</v>
      </c>
      <c r="O59" s="10">
        <f>(99.4+100+97.6+100+100)/5</f>
        <v>99.4</v>
      </c>
      <c r="P59" s="42">
        <v>1.0000000000000009E-2</v>
      </c>
      <c r="Q59" s="42">
        <v>6.9000000000000006E-2</v>
      </c>
      <c r="R59" s="42">
        <v>0.14000000000000001</v>
      </c>
      <c r="S59" s="42">
        <v>0.19</v>
      </c>
    </row>
    <row r="60" spans="1:20" ht="14.25" customHeight="1">
      <c r="A60" s="270" t="s">
        <v>94</v>
      </c>
      <c r="B60" s="17" t="s">
        <v>89</v>
      </c>
      <c r="C60" s="158" t="s">
        <v>105</v>
      </c>
      <c r="D60" s="109">
        <v>-46.570383182112749</v>
      </c>
      <c r="E60" s="109">
        <v>-23.567386500000001</v>
      </c>
      <c r="F60" s="18">
        <v>2004</v>
      </c>
      <c r="G60" s="19" t="s">
        <v>90</v>
      </c>
      <c r="H60" s="18" t="s">
        <v>177</v>
      </c>
      <c r="I60" s="17" t="s">
        <v>91</v>
      </c>
      <c r="J60" s="158" t="s">
        <v>93</v>
      </c>
      <c r="K60" s="17">
        <v>1200</v>
      </c>
      <c r="L60" s="158">
        <v>0.2</v>
      </c>
      <c r="M60" s="18" t="s">
        <v>80</v>
      </c>
      <c r="N60" s="17" t="s">
        <v>88</v>
      </c>
      <c r="O60" s="10">
        <f>(100+100+99+100)/4</f>
        <v>99.75</v>
      </c>
      <c r="P60" s="42">
        <v>4.0000000000000036E-3</v>
      </c>
      <c r="Q60" s="42">
        <v>5.5E-2</v>
      </c>
      <c r="R60" s="42">
        <v>0.1</v>
      </c>
      <c r="S60" s="42">
        <v>0.13</v>
      </c>
    </row>
    <row r="61" spans="1:20" ht="14.25" customHeight="1">
      <c r="A61" s="270" t="s">
        <v>94</v>
      </c>
      <c r="B61" s="17" t="s">
        <v>89</v>
      </c>
      <c r="C61" s="158" t="s">
        <v>106</v>
      </c>
      <c r="D61" s="109">
        <v>-46.933372863488053</v>
      </c>
      <c r="E61" s="109">
        <v>-23.546934000000004</v>
      </c>
      <c r="F61" s="18">
        <v>2004</v>
      </c>
      <c r="G61" s="19" t="s">
        <v>90</v>
      </c>
      <c r="H61" s="18" t="s">
        <v>177</v>
      </c>
      <c r="I61" s="17" t="s">
        <v>91</v>
      </c>
      <c r="J61" s="158" t="s">
        <v>93</v>
      </c>
      <c r="K61" s="17">
        <v>1800</v>
      </c>
      <c r="L61" s="158">
        <v>0.2</v>
      </c>
      <c r="M61" s="18" t="s">
        <v>80</v>
      </c>
      <c r="N61" s="17" t="s">
        <v>88</v>
      </c>
      <c r="O61" s="5">
        <f>(100+100+100+100)/4</f>
        <v>100</v>
      </c>
      <c r="P61" s="42">
        <v>5.0000000000000044E-3</v>
      </c>
      <c r="Q61" s="42">
        <v>5.8000000000000003E-2</v>
      </c>
      <c r="R61" s="42">
        <v>0.1</v>
      </c>
      <c r="S61" s="42">
        <v>0.13</v>
      </c>
    </row>
    <row r="62" spans="1:20" ht="14.25" customHeight="1">
      <c r="A62" s="270" t="s">
        <v>94</v>
      </c>
      <c r="B62" s="17" t="s">
        <v>89</v>
      </c>
      <c r="C62" s="158" t="s">
        <v>107</v>
      </c>
      <c r="D62" s="109">
        <v>-49.951645643103269</v>
      </c>
      <c r="E62" s="109">
        <v>-22.122743500000002</v>
      </c>
      <c r="F62" s="18">
        <v>2004</v>
      </c>
      <c r="G62" s="19" t="s">
        <v>90</v>
      </c>
      <c r="H62" s="18" t="s">
        <v>177</v>
      </c>
      <c r="I62" s="17" t="s">
        <v>91</v>
      </c>
      <c r="J62" s="158" t="s">
        <v>93</v>
      </c>
      <c r="K62" s="17">
        <v>1200</v>
      </c>
      <c r="L62" s="158">
        <v>0.2</v>
      </c>
      <c r="M62" s="18" t="s">
        <v>80</v>
      </c>
      <c r="N62" s="17" t="s">
        <v>88</v>
      </c>
      <c r="O62" s="10">
        <f>(99.4+100+100+98.9)/4</f>
        <v>99.574999999999989</v>
      </c>
      <c r="P62" s="42">
        <v>9.999999999999995E-3</v>
      </c>
      <c r="Q62" s="42">
        <v>5.0999999999999997E-2</v>
      </c>
      <c r="R62" s="42">
        <v>0.11</v>
      </c>
      <c r="S62" s="42">
        <v>0.15</v>
      </c>
    </row>
    <row r="63" spans="1:20" ht="14.25" customHeight="1">
      <c r="A63" s="270" t="s">
        <v>94</v>
      </c>
      <c r="B63" s="17" t="s">
        <v>89</v>
      </c>
      <c r="C63" s="158" t="s">
        <v>108</v>
      </c>
      <c r="D63" s="109">
        <v>-51.386765581912492</v>
      </c>
      <c r="E63" s="109">
        <v>-24.494251427999906</v>
      </c>
      <c r="F63" s="18">
        <v>2004</v>
      </c>
      <c r="G63" s="19" t="s">
        <v>90</v>
      </c>
      <c r="H63" s="18" t="s">
        <v>177</v>
      </c>
      <c r="I63" s="17" t="s">
        <v>91</v>
      </c>
      <c r="J63" s="158" t="s">
        <v>93</v>
      </c>
      <c r="K63" s="17">
        <v>1500</v>
      </c>
      <c r="L63" s="158">
        <v>0.2</v>
      </c>
      <c r="M63" s="18" t="s">
        <v>80</v>
      </c>
      <c r="N63" s="17" t="s">
        <v>88</v>
      </c>
      <c r="O63" s="10">
        <f>(99+99.5+100+99+100)/5</f>
        <v>99.5</v>
      </c>
      <c r="P63" s="42">
        <v>9.9999999999999811E-3</v>
      </c>
      <c r="Q63" s="3">
        <v>5.6000000000000001E-2</v>
      </c>
      <c r="R63" s="3">
        <v>0.15</v>
      </c>
      <c r="S63" s="3">
        <v>0.23</v>
      </c>
    </row>
    <row r="64" spans="1:20" ht="14.25" customHeight="1">
      <c r="A64" s="270" t="s">
        <v>94</v>
      </c>
      <c r="B64" s="17" t="s">
        <v>89</v>
      </c>
      <c r="C64" s="158" t="s">
        <v>109</v>
      </c>
      <c r="D64" s="109">
        <v>-47.805475915541528</v>
      </c>
      <c r="E64" s="109">
        <v>-21.184834500000004</v>
      </c>
      <c r="F64" s="18">
        <v>2004</v>
      </c>
      <c r="G64" s="19" t="s">
        <v>90</v>
      </c>
      <c r="H64" s="18" t="s">
        <v>177</v>
      </c>
      <c r="I64" s="17" t="s">
        <v>91</v>
      </c>
      <c r="J64" s="158" t="s">
        <v>93</v>
      </c>
      <c r="K64" s="17">
        <v>1200</v>
      </c>
      <c r="L64" s="158">
        <v>0.2</v>
      </c>
      <c r="M64" s="18" t="s">
        <v>80</v>
      </c>
      <c r="N64" s="17" t="s">
        <v>88</v>
      </c>
      <c r="O64" s="5">
        <f>(100+100+100+100)/4</f>
        <v>100</v>
      </c>
      <c r="P64" s="42">
        <v>9.999999999999995E-3</v>
      </c>
      <c r="Q64" s="42">
        <v>5.7000000000000002E-2</v>
      </c>
      <c r="R64" s="42">
        <v>0.12</v>
      </c>
      <c r="S64" s="42">
        <v>0.17</v>
      </c>
    </row>
    <row r="65" spans="1:20" ht="14.25" customHeight="1">
      <c r="A65" s="270" t="s">
        <v>94</v>
      </c>
      <c r="B65" s="17" t="s">
        <v>89</v>
      </c>
      <c r="C65" s="158" t="s">
        <v>110</v>
      </c>
      <c r="D65" s="109">
        <v>-46.331370849190684</v>
      </c>
      <c r="E65" s="109">
        <v>-23.933737500000003</v>
      </c>
      <c r="F65" s="18">
        <v>2004</v>
      </c>
      <c r="G65" s="19" t="s">
        <v>90</v>
      </c>
      <c r="H65" s="18" t="s">
        <v>177</v>
      </c>
      <c r="I65" s="17" t="s">
        <v>91</v>
      </c>
      <c r="J65" s="158" t="s">
        <v>93</v>
      </c>
      <c r="K65" s="17">
        <v>1200</v>
      </c>
      <c r="L65" s="158">
        <v>0.2</v>
      </c>
      <c r="M65" s="18" t="s">
        <v>80</v>
      </c>
      <c r="N65" s="17" t="s">
        <v>88</v>
      </c>
      <c r="O65" s="5">
        <f>(100+100+100+100)/4</f>
        <v>100</v>
      </c>
      <c r="P65" s="42">
        <v>1.0000000000000009E-2</v>
      </c>
      <c r="Q65" s="42">
        <v>7.2999999999999995E-2</v>
      </c>
      <c r="R65" s="42">
        <v>0.14000000000000001</v>
      </c>
      <c r="S65" s="42">
        <v>0.18</v>
      </c>
    </row>
    <row r="66" spans="1:20" ht="14.25" customHeight="1">
      <c r="A66" s="270" t="s">
        <v>94</v>
      </c>
      <c r="B66" s="17" t="s">
        <v>89</v>
      </c>
      <c r="C66" s="158" t="s">
        <v>111</v>
      </c>
      <c r="D66" s="109">
        <v>-47.889237684691636</v>
      </c>
      <c r="E66" s="109">
        <v>-22.015998500000002</v>
      </c>
      <c r="F66" s="18">
        <v>2004</v>
      </c>
      <c r="G66" s="19" t="s">
        <v>90</v>
      </c>
      <c r="H66" s="18" t="s">
        <v>177</v>
      </c>
      <c r="I66" s="17" t="s">
        <v>91</v>
      </c>
      <c r="J66" s="158" t="s">
        <v>93</v>
      </c>
      <c r="K66" s="17">
        <v>1500</v>
      </c>
      <c r="L66" s="158">
        <v>0.2</v>
      </c>
      <c r="M66" s="18" t="s">
        <v>80</v>
      </c>
      <c r="N66" s="17" t="s">
        <v>88</v>
      </c>
      <c r="O66" s="10">
        <f>(99.5+100+100+100+100)/5</f>
        <v>99.9</v>
      </c>
      <c r="P66" s="42">
        <v>4.0000000000000036E-3</v>
      </c>
      <c r="Q66" s="42">
        <v>4.8000000000000001E-2</v>
      </c>
      <c r="R66" s="42">
        <v>8.4000000000000005E-2</v>
      </c>
      <c r="S66" s="42">
        <v>0.11</v>
      </c>
    </row>
    <row r="67" spans="1:20" ht="14.25" customHeight="1">
      <c r="A67" s="270" t="s">
        <v>94</v>
      </c>
      <c r="B67" s="17" t="s">
        <v>89</v>
      </c>
      <c r="C67" s="158" t="s">
        <v>112</v>
      </c>
      <c r="D67" s="109">
        <v>-49.381347685025794</v>
      </c>
      <c r="E67" s="109">
        <v>-20.812636500000004</v>
      </c>
      <c r="F67" s="18">
        <v>2004</v>
      </c>
      <c r="G67" s="19" t="s">
        <v>90</v>
      </c>
      <c r="H67" s="18" t="s">
        <v>177</v>
      </c>
      <c r="I67" s="17" t="s">
        <v>91</v>
      </c>
      <c r="J67" s="158" t="s">
        <v>93</v>
      </c>
      <c r="K67" s="17">
        <v>1200</v>
      </c>
      <c r="L67" s="158">
        <v>0.2</v>
      </c>
      <c r="M67" s="18" t="s">
        <v>80</v>
      </c>
      <c r="N67" s="17" t="s">
        <v>88</v>
      </c>
      <c r="O67" s="10">
        <f>(100+100+100+97.7)/4</f>
        <v>99.424999999999997</v>
      </c>
      <c r="P67" s="42">
        <v>1.0000000000000009E-2</v>
      </c>
      <c r="Q67" s="42">
        <v>6.6000000000000003E-2</v>
      </c>
      <c r="R67" s="42">
        <v>0.13</v>
      </c>
      <c r="S67" s="42">
        <v>0.17</v>
      </c>
    </row>
    <row r="68" spans="1:20" ht="14.25" customHeight="1">
      <c r="A68" s="270" t="s">
        <v>94</v>
      </c>
      <c r="B68" s="17" t="s">
        <v>89</v>
      </c>
      <c r="C68" s="158" t="s">
        <v>113</v>
      </c>
      <c r="D68" s="109">
        <v>-45.402680140543957</v>
      </c>
      <c r="E68" s="109">
        <v>-23.806687652148753</v>
      </c>
      <c r="F68" s="18">
        <v>2004</v>
      </c>
      <c r="G68" s="19" t="s">
        <v>90</v>
      </c>
      <c r="H68" s="18" t="s">
        <v>177</v>
      </c>
      <c r="I68" s="17" t="s">
        <v>91</v>
      </c>
      <c r="J68" s="158" t="s">
        <v>93</v>
      </c>
      <c r="K68" s="17">
        <v>1200</v>
      </c>
      <c r="L68" s="158">
        <v>0.2</v>
      </c>
      <c r="M68" s="18" t="s">
        <v>80</v>
      </c>
      <c r="N68" s="17" t="s">
        <v>88</v>
      </c>
      <c r="O68" s="10">
        <f>(99.5+98.3+100+100)/4</f>
        <v>99.45</v>
      </c>
      <c r="P68" s="42">
        <v>1.999999999999999E-2</v>
      </c>
      <c r="Q68" s="42">
        <v>0.08</v>
      </c>
      <c r="R68" s="42">
        <v>0.18</v>
      </c>
      <c r="S68" s="42">
        <v>0.25</v>
      </c>
    </row>
    <row r="69" spans="1:20" ht="14.25" customHeight="1">
      <c r="A69" s="270" t="s">
        <v>94</v>
      </c>
      <c r="B69" s="17" t="s">
        <v>89</v>
      </c>
      <c r="C69" s="158" t="s">
        <v>114</v>
      </c>
      <c r="D69" s="109">
        <v>-47.457853253204043</v>
      </c>
      <c r="E69" s="109">
        <v>-23.499323</v>
      </c>
      <c r="F69" s="18">
        <v>2004</v>
      </c>
      <c r="G69" s="19" t="s">
        <v>90</v>
      </c>
      <c r="H69" s="18" t="s">
        <v>177</v>
      </c>
      <c r="I69" s="17" t="s">
        <v>91</v>
      </c>
      <c r="J69" s="158" t="s">
        <v>93</v>
      </c>
      <c r="K69" s="17">
        <v>1500</v>
      </c>
      <c r="L69" s="158">
        <v>0.2</v>
      </c>
      <c r="M69" s="17" t="s">
        <v>80</v>
      </c>
      <c r="N69" s="17" t="s">
        <v>88</v>
      </c>
      <c r="O69" s="10">
        <f>(100+99+100+100+98.9)/5</f>
        <v>99.58</v>
      </c>
      <c r="P69" s="42">
        <v>9.9999999999999811E-3</v>
      </c>
      <c r="Q69" s="42">
        <v>6.0999999999999999E-2</v>
      </c>
      <c r="R69" s="42">
        <v>0.15</v>
      </c>
      <c r="S69" s="42">
        <v>0.21</v>
      </c>
    </row>
    <row r="70" spans="1:20" ht="14.25" customHeight="1">
      <c r="A70" s="270" t="s">
        <v>94</v>
      </c>
      <c r="B70" s="17" t="s">
        <v>89</v>
      </c>
      <c r="C70" s="17" t="s">
        <v>115</v>
      </c>
      <c r="D70" s="109">
        <v>-60.670532672965052</v>
      </c>
      <c r="E70" s="109">
        <v>2.8166819191043904</v>
      </c>
      <c r="F70" s="18">
        <v>2004</v>
      </c>
      <c r="G70" s="19" t="s">
        <v>90</v>
      </c>
      <c r="H70" s="18" t="s">
        <v>177</v>
      </c>
      <c r="I70" s="17" t="s">
        <v>91</v>
      </c>
      <c r="J70" s="158" t="s">
        <v>93</v>
      </c>
      <c r="K70" s="17">
        <v>1500</v>
      </c>
      <c r="L70" s="158">
        <v>0.2</v>
      </c>
      <c r="M70" s="17" t="s">
        <v>80</v>
      </c>
      <c r="N70" s="17" t="s">
        <v>88</v>
      </c>
      <c r="O70" s="10">
        <f>(98+95.2+98.9+99+92)/5</f>
        <v>96.62</v>
      </c>
      <c r="P70" s="42">
        <v>9.9999999999999811E-3</v>
      </c>
      <c r="Q70" s="42">
        <v>0.11899999999999999</v>
      </c>
      <c r="R70" s="42">
        <v>0.21099999999999999</v>
      </c>
      <c r="S70" s="42">
        <v>0.26700000000000002</v>
      </c>
    </row>
    <row r="71" spans="1:20" ht="14.25" customHeight="1">
      <c r="A71" s="270" t="s">
        <v>94</v>
      </c>
      <c r="B71" s="17" t="s">
        <v>89</v>
      </c>
      <c r="C71" s="158" t="s">
        <v>116</v>
      </c>
      <c r="D71" s="109">
        <v>-38.589927555043182</v>
      </c>
      <c r="E71" s="109">
        <v>-3.7238050350000007</v>
      </c>
      <c r="F71" s="18">
        <v>2004</v>
      </c>
      <c r="G71" s="19" t="s">
        <v>90</v>
      </c>
      <c r="H71" s="17" t="s">
        <v>177</v>
      </c>
      <c r="I71" s="17" t="s">
        <v>91</v>
      </c>
      <c r="J71" s="158" t="s">
        <v>93</v>
      </c>
      <c r="K71" s="17">
        <v>1200</v>
      </c>
      <c r="L71" s="158">
        <v>0.2</v>
      </c>
      <c r="M71" s="17" t="s">
        <v>80</v>
      </c>
      <c r="N71" s="17" t="s">
        <v>88</v>
      </c>
      <c r="O71" s="10">
        <f>(100+98.5+100+99)/4</f>
        <v>99.375</v>
      </c>
      <c r="P71" s="42">
        <v>1.999999999999999E-2</v>
      </c>
      <c r="Q71" s="42">
        <v>6.7000000000000004E-2</v>
      </c>
      <c r="R71" s="42">
        <v>0.15</v>
      </c>
      <c r="S71" s="42">
        <v>0.21</v>
      </c>
    </row>
    <row r="72" spans="1:20" ht="14.25" customHeight="1">
      <c r="A72" s="270" t="s">
        <v>94</v>
      </c>
      <c r="B72" s="17" t="s">
        <v>89</v>
      </c>
      <c r="C72" s="158" t="s">
        <v>117</v>
      </c>
      <c r="D72" s="109">
        <v>-40.503552159443394</v>
      </c>
      <c r="E72" s="109">
        <v>-9.4107170962278648</v>
      </c>
      <c r="F72" s="18">
        <v>2004</v>
      </c>
      <c r="G72" s="19" t="s">
        <v>90</v>
      </c>
      <c r="H72" s="17" t="s">
        <v>177</v>
      </c>
      <c r="I72" s="17" t="s">
        <v>91</v>
      </c>
      <c r="J72" s="158" t="s">
        <v>93</v>
      </c>
      <c r="K72" s="17">
        <v>1500</v>
      </c>
      <c r="L72" s="158">
        <v>0.2</v>
      </c>
      <c r="M72" s="17" t="s">
        <v>80</v>
      </c>
      <c r="N72" s="17" t="s">
        <v>88</v>
      </c>
      <c r="O72" s="158">
        <f>(95+100+96.5+100+99)/5</f>
        <v>98.1</v>
      </c>
      <c r="P72" s="42">
        <v>1.0000000000000009E-2</v>
      </c>
      <c r="Q72" s="42">
        <v>8.1000000000000003E-2</v>
      </c>
      <c r="R72" s="42">
        <v>0.17</v>
      </c>
      <c r="S72" s="42">
        <v>0.23</v>
      </c>
    </row>
    <row r="73" spans="1:20" s="166" customFormat="1" ht="14.25" customHeight="1">
      <c r="A73" s="270" t="s">
        <v>94</v>
      </c>
      <c r="B73" s="17" t="s">
        <v>89</v>
      </c>
      <c r="C73" s="158" t="s">
        <v>118</v>
      </c>
      <c r="D73" s="109">
        <v>-51.057405457035955</v>
      </c>
      <c r="E73" s="109">
        <v>3.8951010000000008E-2</v>
      </c>
      <c r="F73" s="17">
        <v>2004</v>
      </c>
      <c r="G73" s="19" t="s">
        <v>90</v>
      </c>
      <c r="H73" s="17" t="s">
        <v>177</v>
      </c>
      <c r="I73" s="17" t="s">
        <v>91</v>
      </c>
      <c r="J73" s="158" t="s">
        <v>93</v>
      </c>
      <c r="K73" s="17">
        <v>1200</v>
      </c>
      <c r="L73" s="158">
        <v>0.2</v>
      </c>
      <c r="M73" s="17" t="s">
        <v>80</v>
      </c>
      <c r="N73" s="17" t="s">
        <v>88</v>
      </c>
      <c r="O73" s="10">
        <f>(100+100+100+99.5)/4</f>
        <v>99.875</v>
      </c>
      <c r="P73" s="42">
        <v>0</v>
      </c>
      <c r="Q73" s="42">
        <v>6.4000000000000001E-2</v>
      </c>
      <c r="R73" s="42">
        <v>0.11</v>
      </c>
      <c r="S73" s="42">
        <v>0.14000000000000001</v>
      </c>
      <c r="T73" s="26"/>
    </row>
    <row r="74" spans="1:20" ht="14.25" customHeight="1">
      <c r="A74" s="270" t="s">
        <v>94</v>
      </c>
      <c r="B74" s="17" t="s">
        <v>89</v>
      </c>
      <c r="C74" s="158" t="s">
        <v>119</v>
      </c>
      <c r="D74" s="109">
        <v>-60.023335181061036</v>
      </c>
      <c r="E74" s="109">
        <v>-3.1346914912019459</v>
      </c>
      <c r="F74" s="17">
        <v>2004</v>
      </c>
      <c r="G74" s="19" t="s">
        <v>90</v>
      </c>
      <c r="H74" s="17" t="s">
        <v>177</v>
      </c>
      <c r="I74" s="17" t="s">
        <v>91</v>
      </c>
      <c r="J74" s="158" t="s">
        <v>93</v>
      </c>
      <c r="K74" s="17">
        <v>1200</v>
      </c>
      <c r="L74" s="158">
        <v>0.2</v>
      </c>
      <c r="M74" s="17" t="s">
        <v>80</v>
      </c>
      <c r="N74" s="17" t="s">
        <v>88</v>
      </c>
      <c r="O74" s="10">
        <f>(100+100+100+99)/4</f>
        <v>99.75</v>
      </c>
      <c r="P74" s="42">
        <v>1.0999999999999982E-2</v>
      </c>
      <c r="Q74" s="42">
        <v>6.5000000000000002E-2</v>
      </c>
      <c r="R74" s="42">
        <v>0.14299999999999999</v>
      </c>
      <c r="S74" s="42">
        <v>0.19800000000000001</v>
      </c>
    </row>
    <row r="75" spans="1:20" ht="14.25" customHeight="1">
      <c r="A75" s="270" t="s">
        <v>94</v>
      </c>
      <c r="B75" s="17" t="s">
        <v>89</v>
      </c>
      <c r="C75" s="17" t="s">
        <v>120</v>
      </c>
      <c r="D75" s="109">
        <v>-42.805270458223347</v>
      </c>
      <c r="E75" s="109">
        <v>-5.0863419523217006</v>
      </c>
      <c r="F75" s="17">
        <v>2004</v>
      </c>
      <c r="G75" s="19" t="s">
        <v>90</v>
      </c>
      <c r="H75" s="17" t="s">
        <v>177</v>
      </c>
      <c r="I75" s="17" t="s">
        <v>91</v>
      </c>
      <c r="J75" s="158" t="s">
        <v>93</v>
      </c>
      <c r="K75" s="17">
        <v>1500</v>
      </c>
      <c r="L75" s="158">
        <v>0.2</v>
      </c>
      <c r="M75" s="17" t="s">
        <v>80</v>
      </c>
      <c r="N75" s="17" t="s">
        <v>88</v>
      </c>
      <c r="O75" s="17">
        <f>(99.5+99+100+99.5+99.5)/5</f>
        <v>99.5</v>
      </c>
      <c r="P75" s="42">
        <v>1.0000000000000009E-2</v>
      </c>
      <c r="Q75" s="42">
        <v>7.1999999999999995E-2</v>
      </c>
      <c r="R75" s="42">
        <v>0.13</v>
      </c>
      <c r="S75" s="42">
        <v>0.17</v>
      </c>
    </row>
    <row r="76" spans="1:20" ht="14.25" customHeight="1">
      <c r="A76" s="270" t="s">
        <v>94</v>
      </c>
      <c r="B76" s="17" t="s">
        <v>89</v>
      </c>
      <c r="C76" s="17" t="s">
        <v>121</v>
      </c>
      <c r="D76" s="109">
        <v>-35.090646545537375</v>
      </c>
      <c r="E76" s="109">
        <v>-8.7046892785391865</v>
      </c>
      <c r="F76" s="17">
        <v>2004</v>
      </c>
      <c r="G76" s="19" t="s">
        <v>90</v>
      </c>
      <c r="H76" s="17" t="s">
        <v>177</v>
      </c>
      <c r="I76" s="17" t="s">
        <v>91</v>
      </c>
      <c r="J76" s="158" t="s">
        <v>93</v>
      </c>
      <c r="K76" s="17">
        <v>1200</v>
      </c>
      <c r="L76" s="158">
        <v>0.2</v>
      </c>
      <c r="M76" s="17" t="s">
        <v>80</v>
      </c>
      <c r="N76" s="17" t="s">
        <v>88</v>
      </c>
      <c r="O76" s="28">
        <f>(99.5+100+100+98.5)/4</f>
        <v>99.5</v>
      </c>
      <c r="P76" s="42">
        <v>1.0000000000000009E-2</v>
      </c>
      <c r="Q76" s="42">
        <v>8.6999999999999994E-2</v>
      </c>
      <c r="R76" s="42">
        <v>0.13</v>
      </c>
      <c r="S76" s="42">
        <v>0.15</v>
      </c>
    </row>
    <row r="77" spans="1:20" ht="14.25" customHeight="1">
      <c r="A77" s="270" t="s">
        <v>94</v>
      </c>
      <c r="B77" s="17" t="s">
        <v>89</v>
      </c>
      <c r="C77" s="17" t="s">
        <v>122</v>
      </c>
      <c r="D77" s="109">
        <v>-39.273108952008137</v>
      </c>
      <c r="E77" s="109">
        <v>-14.789039548603002</v>
      </c>
      <c r="F77" s="17">
        <v>2004</v>
      </c>
      <c r="G77" s="19" t="s">
        <v>90</v>
      </c>
      <c r="H77" s="17" t="s">
        <v>177</v>
      </c>
      <c r="I77" s="17" t="s">
        <v>91</v>
      </c>
      <c r="J77" s="158" t="s">
        <v>93</v>
      </c>
      <c r="K77" s="17">
        <v>1500</v>
      </c>
      <c r="L77" s="158">
        <v>0.2</v>
      </c>
      <c r="M77" s="17" t="s">
        <v>80</v>
      </c>
      <c r="N77" s="17" t="s">
        <v>88</v>
      </c>
      <c r="O77" s="28">
        <f>(99+87+100+99+87)/5</f>
        <v>94.4</v>
      </c>
      <c r="P77" s="42">
        <v>1.100000000000001E-2</v>
      </c>
      <c r="Q77" s="42">
        <v>7.1999999999999995E-2</v>
      </c>
      <c r="R77" s="42">
        <v>0.16800000000000001</v>
      </c>
      <c r="S77" s="42">
        <v>0.23799999999999999</v>
      </c>
    </row>
    <row r="78" spans="1:20" ht="14.25" customHeight="1">
      <c r="A78" s="270" t="s">
        <v>94</v>
      </c>
      <c r="B78" s="17" t="s">
        <v>89</v>
      </c>
      <c r="C78" s="17" t="s">
        <v>123</v>
      </c>
      <c r="D78" s="109">
        <v>-38.488061484007851</v>
      </c>
      <c r="E78" s="109">
        <v>-13.014771911532753</v>
      </c>
      <c r="F78" s="17">
        <v>2004</v>
      </c>
      <c r="G78" s="19" t="s">
        <v>90</v>
      </c>
      <c r="H78" s="17" t="s">
        <v>177</v>
      </c>
      <c r="I78" s="17" t="s">
        <v>91</v>
      </c>
      <c r="J78" s="158" t="s">
        <v>93</v>
      </c>
      <c r="K78" s="17">
        <v>1800</v>
      </c>
      <c r="L78" s="158">
        <v>0.2</v>
      </c>
      <c r="M78" s="17" t="s">
        <v>80</v>
      </c>
      <c r="N78" s="17" t="s">
        <v>88</v>
      </c>
      <c r="O78" s="28">
        <f>(100+95.5+100+90+95+100)/6</f>
        <v>96.75</v>
      </c>
      <c r="P78" s="42">
        <v>9.9999999999999811E-3</v>
      </c>
      <c r="Q78" s="42">
        <v>9.4100000000000003E-2</v>
      </c>
      <c r="R78" s="42">
        <v>0.17899999999999999</v>
      </c>
      <c r="S78" s="42">
        <v>0.23300000000000001</v>
      </c>
    </row>
    <row r="79" spans="1:20" ht="14.25" customHeight="1" thickBot="1">
      <c r="A79" s="11" t="s">
        <v>94</v>
      </c>
      <c r="B79" s="21" t="s">
        <v>89</v>
      </c>
      <c r="C79" s="21" t="s">
        <v>96</v>
      </c>
      <c r="D79" s="110">
        <v>-41.778170592024502</v>
      </c>
      <c r="E79" s="110">
        <v>-2.9033601445089237</v>
      </c>
      <c r="F79" s="21">
        <v>2004</v>
      </c>
      <c r="G79" s="22" t="s">
        <v>90</v>
      </c>
      <c r="H79" s="21" t="s">
        <v>177</v>
      </c>
      <c r="I79" s="21" t="s">
        <v>91</v>
      </c>
      <c r="J79" s="11" t="s">
        <v>93</v>
      </c>
      <c r="K79" s="21">
        <v>1500</v>
      </c>
      <c r="L79" s="11">
        <v>0.2</v>
      </c>
      <c r="M79" s="21" t="s">
        <v>80</v>
      </c>
      <c r="N79" s="21" t="s">
        <v>88</v>
      </c>
      <c r="O79" s="25">
        <f>(100+100+99.5+100+100)/5</f>
        <v>99.9</v>
      </c>
      <c r="P79" s="44">
        <v>7.0000000000000062E-3</v>
      </c>
      <c r="Q79" s="44">
        <v>7.1999999999999995E-2</v>
      </c>
      <c r="R79" s="44">
        <v>0.127</v>
      </c>
      <c r="S79" s="44">
        <v>0.161</v>
      </c>
    </row>
    <row r="80" spans="1:20" ht="14.25" customHeight="1">
      <c r="A80" s="270" t="s">
        <v>94</v>
      </c>
      <c r="B80" s="17" t="s">
        <v>89</v>
      </c>
      <c r="C80" s="20" t="s">
        <v>124</v>
      </c>
      <c r="D80" s="261"/>
      <c r="E80" s="262"/>
      <c r="F80" s="17">
        <v>2004</v>
      </c>
      <c r="G80" s="19" t="s">
        <v>90</v>
      </c>
      <c r="H80" s="17" t="s">
        <v>188</v>
      </c>
      <c r="I80" s="17" t="s">
        <v>91</v>
      </c>
      <c r="J80" s="1" t="s">
        <v>20</v>
      </c>
      <c r="K80" s="18">
        <v>450</v>
      </c>
      <c r="L80" s="158">
        <v>36.5</v>
      </c>
      <c r="M80" s="111" t="s">
        <v>50</v>
      </c>
      <c r="N80" s="2" t="s">
        <v>88</v>
      </c>
      <c r="O80" s="51">
        <v>100</v>
      </c>
      <c r="P80" s="24">
        <v>0</v>
      </c>
    </row>
    <row r="81" spans="1:16" ht="14.25" customHeight="1">
      <c r="A81" s="137" t="s">
        <v>7</v>
      </c>
      <c r="B81" s="17" t="s">
        <v>89</v>
      </c>
      <c r="C81" s="158" t="s">
        <v>100</v>
      </c>
      <c r="D81" s="109">
        <v>-50.439226072752582</v>
      </c>
      <c r="E81" s="109">
        <v>-21.205476000000004</v>
      </c>
      <c r="F81" s="17">
        <v>2004</v>
      </c>
      <c r="G81" s="19" t="s">
        <v>90</v>
      </c>
      <c r="H81" s="17" t="s">
        <v>188</v>
      </c>
      <c r="I81" s="17" t="s">
        <v>91</v>
      </c>
      <c r="J81" s="1" t="s">
        <v>20</v>
      </c>
      <c r="K81" s="18">
        <v>900</v>
      </c>
      <c r="L81" s="10">
        <v>73</v>
      </c>
      <c r="M81" s="111" t="s">
        <v>50</v>
      </c>
      <c r="N81" s="2" t="s">
        <v>88</v>
      </c>
      <c r="O81" s="24">
        <v>42.366666666666667</v>
      </c>
      <c r="P81" s="10">
        <v>7.52294268665303</v>
      </c>
    </row>
    <row r="82" spans="1:16" ht="14.25" customHeight="1">
      <c r="A82" s="137" t="s">
        <v>7</v>
      </c>
      <c r="B82" s="17" t="s">
        <v>89</v>
      </c>
      <c r="C82" s="158" t="s">
        <v>101</v>
      </c>
      <c r="D82" s="109">
        <v>-48.567377839455055</v>
      </c>
      <c r="E82" s="109">
        <v>-20.558455515000002</v>
      </c>
      <c r="F82" s="17">
        <v>2004</v>
      </c>
      <c r="G82" s="19" t="s">
        <v>90</v>
      </c>
      <c r="H82" s="17" t="s">
        <v>188</v>
      </c>
      <c r="I82" s="17" t="s">
        <v>91</v>
      </c>
      <c r="J82" s="1" t="s">
        <v>20</v>
      </c>
      <c r="K82" s="18">
        <v>1050</v>
      </c>
      <c r="L82" s="10">
        <v>73</v>
      </c>
      <c r="M82" s="111" t="s">
        <v>50</v>
      </c>
      <c r="N82" s="2" t="s">
        <v>88</v>
      </c>
      <c r="O82" s="24">
        <v>83.785714285714292</v>
      </c>
      <c r="P82" s="10">
        <v>12.296399008304364</v>
      </c>
    </row>
    <row r="83" spans="1:16" ht="14.25" customHeight="1">
      <c r="A83" s="270" t="s">
        <v>94</v>
      </c>
      <c r="B83" s="17" t="s">
        <v>89</v>
      </c>
      <c r="C83" s="158" t="s">
        <v>102</v>
      </c>
      <c r="D83" s="109">
        <v>-49.083000867090362</v>
      </c>
      <c r="E83" s="109">
        <v>-22.325122500000006</v>
      </c>
      <c r="F83" s="17">
        <v>2004</v>
      </c>
      <c r="G83" s="19" t="s">
        <v>90</v>
      </c>
      <c r="H83" s="17" t="s">
        <v>188</v>
      </c>
      <c r="I83" s="17" t="s">
        <v>91</v>
      </c>
      <c r="J83" s="1" t="s">
        <v>20</v>
      </c>
      <c r="K83" s="18">
        <v>600</v>
      </c>
      <c r="L83" s="10">
        <v>73</v>
      </c>
      <c r="M83" s="111" t="s">
        <v>50</v>
      </c>
      <c r="N83" s="2" t="s">
        <v>88</v>
      </c>
      <c r="O83" s="24">
        <v>82.174999999999997</v>
      </c>
      <c r="P83" s="10">
        <v>8.8872099108775426</v>
      </c>
    </row>
    <row r="84" spans="1:16" ht="14.25" customHeight="1">
      <c r="A84" s="270" t="s">
        <v>94</v>
      </c>
      <c r="B84" s="17" t="s">
        <v>89</v>
      </c>
      <c r="C84" s="158" t="s">
        <v>103</v>
      </c>
      <c r="D84" s="109">
        <v>-48.441289384350434</v>
      </c>
      <c r="E84" s="109">
        <v>-22.888381500000008</v>
      </c>
      <c r="F84" s="17">
        <v>2004</v>
      </c>
      <c r="G84" s="19" t="s">
        <v>90</v>
      </c>
      <c r="H84" s="17" t="s">
        <v>188</v>
      </c>
      <c r="I84" s="17" t="s">
        <v>91</v>
      </c>
      <c r="J84" s="1" t="s">
        <v>20</v>
      </c>
      <c r="K84" s="18">
        <v>600</v>
      </c>
      <c r="L84" s="10">
        <v>73</v>
      </c>
      <c r="M84" s="111" t="s">
        <v>50</v>
      </c>
      <c r="N84" s="2" t="s">
        <v>88</v>
      </c>
      <c r="O84" s="24">
        <v>90.525000000000006</v>
      </c>
      <c r="P84" s="10">
        <v>5.7453604470621915</v>
      </c>
    </row>
    <row r="85" spans="1:16" ht="14.25" customHeight="1">
      <c r="A85" s="270" t="s">
        <v>94</v>
      </c>
      <c r="B85" s="17" t="s">
        <v>89</v>
      </c>
      <c r="C85" s="158" t="s">
        <v>104</v>
      </c>
      <c r="D85" s="109">
        <v>-47.06015627297316</v>
      </c>
      <c r="E85" s="109">
        <v>-22.907342500000002</v>
      </c>
      <c r="F85" s="17">
        <v>2004</v>
      </c>
      <c r="G85" s="19" t="s">
        <v>90</v>
      </c>
      <c r="H85" s="17" t="s">
        <v>188</v>
      </c>
      <c r="I85" s="17" t="s">
        <v>91</v>
      </c>
      <c r="J85" s="1" t="s">
        <v>20</v>
      </c>
      <c r="K85" s="18">
        <v>600</v>
      </c>
      <c r="L85" s="10">
        <v>73</v>
      </c>
      <c r="M85" s="111" t="s">
        <v>50</v>
      </c>
      <c r="N85" s="2" t="s">
        <v>88</v>
      </c>
      <c r="O85" s="24">
        <v>82.9</v>
      </c>
      <c r="P85" s="10">
        <v>6.3968742366877924</v>
      </c>
    </row>
    <row r="86" spans="1:16" ht="14.25" customHeight="1">
      <c r="A86" s="270" t="s">
        <v>94</v>
      </c>
      <c r="B86" s="17" t="s">
        <v>89</v>
      </c>
      <c r="C86" s="158" t="s">
        <v>105</v>
      </c>
      <c r="D86" s="109">
        <v>-46.570383182112749</v>
      </c>
      <c r="E86" s="109">
        <v>-23.567386500000001</v>
      </c>
      <c r="F86" s="17">
        <v>2004</v>
      </c>
      <c r="G86" s="19" t="s">
        <v>90</v>
      </c>
      <c r="H86" s="17" t="s">
        <v>188</v>
      </c>
      <c r="I86" s="17" t="s">
        <v>91</v>
      </c>
      <c r="J86" s="1" t="s">
        <v>20</v>
      </c>
      <c r="K86" s="18">
        <v>750</v>
      </c>
      <c r="L86" s="10">
        <v>73</v>
      </c>
      <c r="M86" s="111" t="s">
        <v>50</v>
      </c>
      <c r="N86" s="2" t="s">
        <v>88</v>
      </c>
      <c r="O86" s="24">
        <v>82.460000000000008</v>
      </c>
      <c r="P86" s="10">
        <v>8.3700657106142238</v>
      </c>
    </row>
    <row r="87" spans="1:16" ht="14.25" customHeight="1">
      <c r="A87" s="270" t="s">
        <v>94</v>
      </c>
      <c r="B87" s="17" t="s">
        <v>89</v>
      </c>
      <c r="C87" s="158" t="s">
        <v>106</v>
      </c>
      <c r="D87" s="109">
        <v>-46.933372863488053</v>
      </c>
      <c r="E87" s="109">
        <v>-23.546934000000004</v>
      </c>
      <c r="F87" s="17">
        <v>2004</v>
      </c>
      <c r="G87" s="19" t="s">
        <v>90</v>
      </c>
      <c r="H87" s="17" t="s">
        <v>188</v>
      </c>
      <c r="I87" s="17" t="s">
        <v>91</v>
      </c>
      <c r="J87" s="1" t="s">
        <v>20</v>
      </c>
      <c r="K87" s="18">
        <v>600</v>
      </c>
      <c r="L87" s="10">
        <v>73</v>
      </c>
      <c r="M87" s="111" t="s">
        <v>50</v>
      </c>
      <c r="N87" s="2" t="s">
        <v>88</v>
      </c>
      <c r="O87" s="24">
        <v>86.674999999999997</v>
      </c>
      <c r="P87" s="10">
        <v>8.6826935144957567</v>
      </c>
    </row>
    <row r="88" spans="1:16" ht="14.25" customHeight="1">
      <c r="A88" s="270" t="s">
        <v>94</v>
      </c>
      <c r="B88" s="17" t="s">
        <v>89</v>
      </c>
      <c r="C88" s="158" t="s">
        <v>107</v>
      </c>
      <c r="D88" s="109">
        <v>-49.951645643103269</v>
      </c>
      <c r="E88" s="109">
        <v>-22.122743500000002</v>
      </c>
      <c r="F88" s="17">
        <v>2004</v>
      </c>
      <c r="G88" s="19" t="s">
        <v>90</v>
      </c>
      <c r="H88" s="17" t="s">
        <v>188</v>
      </c>
      <c r="I88" s="17" t="s">
        <v>91</v>
      </c>
      <c r="J88" s="1" t="s">
        <v>20</v>
      </c>
      <c r="K88" s="18">
        <v>750</v>
      </c>
      <c r="L88" s="10">
        <v>73</v>
      </c>
      <c r="M88" s="111" t="s">
        <v>50</v>
      </c>
      <c r="N88" s="2" t="s">
        <v>88</v>
      </c>
      <c r="O88" s="24">
        <v>92.6</v>
      </c>
      <c r="P88" s="10">
        <v>4.8130032204435524</v>
      </c>
    </row>
    <row r="89" spans="1:16" ht="14.25" customHeight="1">
      <c r="A89" s="270" t="s">
        <v>94</v>
      </c>
      <c r="B89" s="17" t="s">
        <v>89</v>
      </c>
      <c r="C89" s="158" t="s">
        <v>108</v>
      </c>
      <c r="D89" s="109">
        <v>-51.386765581912492</v>
      </c>
      <c r="E89" s="109">
        <v>-24.494251427999906</v>
      </c>
      <c r="F89" s="17">
        <v>2004</v>
      </c>
      <c r="G89" s="19" t="s">
        <v>90</v>
      </c>
      <c r="H89" s="17" t="s">
        <v>188</v>
      </c>
      <c r="I89" s="17" t="s">
        <v>91</v>
      </c>
      <c r="J89" s="1" t="s">
        <v>20</v>
      </c>
      <c r="K89" s="18">
        <v>600</v>
      </c>
      <c r="L89" s="10">
        <v>73</v>
      </c>
      <c r="M89" s="111" t="s">
        <v>50</v>
      </c>
      <c r="N89" s="2" t="s">
        <v>88</v>
      </c>
      <c r="O89" s="24">
        <v>98.474999999999994</v>
      </c>
      <c r="P89" s="10">
        <v>3.0499999999999972</v>
      </c>
    </row>
    <row r="90" spans="1:16" ht="14.25" customHeight="1">
      <c r="A90" s="137" t="s">
        <v>7</v>
      </c>
      <c r="B90" s="17" t="s">
        <v>89</v>
      </c>
      <c r="C90" s="158" t="s">
        <v>109</v>
      </c>
      <c r="D90" s="109">
        <v>-47.805475915541528</v>
      </c>
      <c r="E90" s="109">
        <v>-21.184834500000004</v>
      </c>
      <c r="F90" s="17">
        <v>2004</v>
      </c>
      <c r="G90" s="19" t="s">
        <v>90</v>
      </c>
      <c r="H90" s="17" t="s">
        <v>188</v>
      </c>
      <c r="I90" s="17" t="s">
        <v>91</v>
      </c>
      <c r="J90" s="1" t="s">
        <v>20</v>
      </c>
      <c r="K90" s="18">
        <v>600</v>
      </c>
      <c r="L90" s="10">
        <v>73</v>
      </c>
      <c r="M90" s="111" t="s">
        <v>50</v>
      </c>
      <c r="N90" s="2" t="s">
        <v>88</v>
      </c>
      <c r="O90" s="24">
        <v>71.050000000000011</v>
      </c>
      <c r="P90" s="10">
        <v>18.920623668367753</v>
      </c>
    </row>
    <row r="91" spans="1:16" ht="14.25" customHeight="1">
      <c r="A91" s="137" t="s">
        <v>7</v>
      </c>
      <c r="B91" s="17" t="s">
        <v>89</v>
      </c>
      <c r="C91" s="158" t="s">
        <v>110</v>
      </c>
      <c r="D91" s="109">
        <v>-46.331370849190684</v>
      </c>
      <c r="E91" s="109">
        <v>-23.933737500000003</v>
      </c>
      <c r="F91" s="17">
        <v>2004</v>
      </c>
      <c r="G91" s="19" t="s">
        <v>90</v>
      </c>
      <c r="H91" s="17" t="s">
        <v>188</v>
      </c>
      <c r="I91" s="17" t="s">
        <v>91</v>
      </c>
      <c r="J91" s="1" t="s">
        <v>20</v>
      </c>
      <c r="K91" s="18">
        <v>600</v>
      </c>
      <c r="L91" s="10">
        <v>73</v>
      </c>
      <c r="M91" s="111" t="s">
        <v>50</v>
      </c>
      <c r="N91" s="2" t="s">
        <v>88</v>
      </c>
      <c r="O91" s="24">
        <v>64.474999999999994</v>
      </c>
      <c r="P91" s="10">
        <v>21.597434261195655</v>
      </c>
    </row>
    <row r="92" spans="1:16" ht="14.25" customHeight="1">
      <c r="A92" s="270" t="s">
        <v>94</v>
      </c>
      <c r="B92" s="17" t="s">
        <v>89</v>
      </c>
      <c r="C92" s="158" t="s">
        <v>111</v>
      </c>
      <c r="D92" s="109">
        <v>-47.889237684691636</v>
      </c>
      <c r="E92" s="109">
        <v>-22.015998500000002</v>
      </c>
      <c r="F92" s="17">
        <v>2004</v>
      </c>
      <c r="G92" s="19" t="s">
        <v>90</v>
      </c>
      <c r="H92" s="17" t="s">
        <v>188</v>
      </c>
      <c r="I92" s="17" t="s">
        <v>91</v>
      </c>
      <c r="J92" s="1" t="s">
        <v>20</v>
      </c>
      <c r="K92" s="18">
        <v>600</v>
      </c>
      <c r="L92" s="10">
        <v>73</v>
      </c>
      <c r="M92" s="111" t="s">
        <v>50</v>
      </c>
      <c r="N92" s="2" t="s">
        <v>88</v>
      </c>
      <c r="O92" s="24">
        <v>84.75</v>
      </c>
      <c r="P92" s="10">
        <v>10.045728777279759</v>
      </c>
    </row>
    <row r="93" spans="1:16" ht="14.25" customHeight="1">
      <c r="A93" s="137" t="s">
        <v>7</v>
      </c>
      <c r="B93" s="17" t="s">
        <v>89</v>
      </c>
      <c r="C93" s="158" t="s">
        <v>112</v>
      </c>
      <c r="D93" s="109">
        <v>-49.381347685025794</v>
      </c>
      <c r="E93" s="109">
        <v>-20.812636500000004</v>
      </c>
      <c r="F93" s="17">
        <v>2004</v>
      </c>
      <c r="G93" s="19" t="s">
        <v>90</v>
      </c>
      <c r="H93" s="17" t="s">
        <v>188</v>
      </c>
      <c r="I93" s="17" t="s">
        <v>91</v>
      </c>
      <c r="J93" s="1" t="s">
        <v>20</v>
      </c>
      <c r="K93" s="18">
        <v>600</v>
      </c>
      <c r="L93" s="10">
        <v>73</v>
      </c>
      <c r="M93" s="111" t="s">
        <v>50</v>
      </c>
      <c r="N93" s="2" t="s">
        <v>88</v>
      </c>
      <c r="O93" s="24">
        <v>55.875</v>
      </c>
      <c r="P93" s="10">
        <v>21.305926405580205</v>
      </c>
    </row>
    <row r="94" spans="1:16" ht="14.25" customHeight="1">
      <c r="A94" s="270" t="s">
        <v>94</v>
      </c>
      <c r="B94" s="17" t="s">
        <v>89</v>
      </c>
      <c r="C94" s="158" t="s">
        <v>113</v>
      </c>
      <c r="D94" s="109">
        <v>-45.402680140543957</v>
      </c>
      <c r="E94" s="109">
        <v>-23.806687652148753</v>
      </c>
      <c r="F94" s="17">
        <v>2004</v>
      </c>
      <c r="G94" s="19" t="s">
        <v>90</v>
      </c>
      <c r="H94" s="17" t="s">
        <v>188</v>
      </c>
      <c r="I94" s="17" t="s">
        <v>91</v>
      </c>
      <c r="J94" s="1" t="s">
        <v>20</v>
      </c>
      <c r="K94" s="18">
        <v>750</v>
      </c>
      <c r="L94" s="10">
        <v>73</v>
      </c>
      <c r="M94" s="111" t="s">
        <v>50</v>
      </c>
      <c r="N94" s="2" t="s">
        <v>88</v>
      </c>
      <c r="O94" s="24">
        <v>68.28</v>
      </c>
      <c r="P94" s="10">
        <v>17.153046376664378</v>
      </c>
    </row>
    <row r="95" spans="1:16" ht="14.25" customHeight="1">
      <c r="A95" s="270" t="s">
        <v>94</v>
      </c>
      <c r="B95" s="17" t="s">
        <v>89</v>
      </c>
      <c r="C95" s="158" t="s">
        <v>114</v>
      </c>
      <c r="D95" s="109">
        <v>-47.457853253204043</v>
      </c>
      <c r="E95" s="109">
        <v>-23.499323</v>
      </c>
      <c r="F95" s="17">
        <v>2004</v>
      </c>
      <c r="G95" s="19" t="s">
        <v>90</v>
      </c>
      <c r="H95" s="17" t="s">
        <v>188</v>
      </c>
      <c r="I95" s="17" t="s">
        <v>91</v>
      </c>
      <c r="J95" s="1" t="s">
        <v>20</v>
      </c>
      <c r="K95" s="18">
        <v>900</v>
      </c>
      <c r="L95" s="10">
        <v>73</v>
      </c>
      <c r="M95" s="111" t="s">
        <v>50</v>
      </c>
      <c r="N95" s="2" t="s">
        <v>88</v>
      </c>
      <c r="O95" s="24">
        <v>74.149999999999991</v>
      </c>
      <c r="P95" s="10">
        <v>11.922206171678123</v>
      </c>
    </row>
    <row r="96" spans="1:16" ht="14.25" customHeight="1">
      <c r="A96" s="270" t="s">
        <v>94</v>
      </c>
      <c r="B96" s="17" t="s">
        <v>89</v>
      </c>
      <c r="C96" s="17" t="s">
        <v>115</v>
      </c>
      <c r="D96" s="109">
        <v>-60.670532672965052</v>
      </c>
      <c r="E96" s="109">
        <v>2.8166819191043904</v>
      </c>
      <c r="F96" s="17">
        <v>2004</v>
      </c>
      <c r="G96" s="19" t="s">
        <v>90</v>
      </c>
      <c r="H96" s="17" t="s">
        <v>188</v>
      </c>
      <c r="I96" s="17" t="s">
        <v>91</v>
      </c>
      <c r="J96" s="1" t="s">
        <v>20</v>
      </c>
      <c r="K96" s="18">
        <v>750</v>
      </c>
      <c r="L96" s="10">
        <v>73</v>
      </c>
      <c r="M96" s="111" t="s">
        <v>50</v>
      </c>
      <c r="N96" s="2" t="s">
        <v>88</v>
      </c>
      <c r="O96" s="24">
        <v>93.8</v>
      </c>
      <c r="P96" s="153">
        <v>7.0253113809994208</v>
      </c>
    </row>
    <row r="97" spans="1:16" ht="14.25" customHeight="1">
      <c r="A97" s="270" t="s">
        <v>94</v>
      </c>
      <c r="B97" s="17" t="s">
        <v>89</v>
      </c>
      <c r="C97" s="158" t="s">
        <v>116</v>
      </c>
      <c r="D97" s="109">
        <v>-38.589927555043182</v>
      </c>
      <c r="E97" s="109">
        <v>-3.7238050350000007</v>
      </c>
      <c r="F97" s="17">
        <v>2004</v>
      </c>
      <c r="G97" s="19" t="s">
        <v>90</v>
      </c>
      <c r="H97" s="17" t="s">
        <v>188</v>
      </c>
      <c r="I97" s="17" t="s">
        <v>91</v>
      </c>
      <c r="J97" s="1" t="s">
        <v>20</v>
      </c>
      <c r="K97" s="18">
        <v>750</v>
      </c>
      <c r="L97" s="10">
        <v>73</v>
      </c>
      <c r="M97" s="111" t="s">
        <v>50</v>
      </c>
      <c r="N97" s="2" t="s">
        <v>88</v>
      </c>
      <c r="O97" s="24">
        <v>70.92</v>
      </c>
      <c r="P97" s="28">
        <v>29.419500335661713</v>
      </c>
    </row>
    <row r="98" spans="1:16" ht="14.25" customHeight="1">
      <c r="A98" s="270" t="s">
        <v>94</v>
      </c>
      <c r="B98" s="17" t="s">
        <v>89</v>
      </c>
      <c r="C98" s="17" t="s">
        <v>122</v>
      </c>
      <c r="D98" s="109">
        <v>-39.273108952008137</v>
      </c>
      <c r="E98" s="109">
        <v>-14.789039548603002</v>
      </c>
      <c r="F98" s="17">
        <v>2004</v>
      </c>
      <c r="G98" s="19" t="s">
        <v>90</v>
      </c>
      <c r="H98" s="17" t="s">
        <v>188</v>
      </c>
      <c r="I98" s="17" t="s">
        <v>91</v>
      </c>
      <c r="J98" s="1" t="s">
        <v>20</v>
      </c>
      <c r="K98" s="18">
        <v>900</v>
      </c>
      <c r="L98" s="10">
        <v>73</v>
      </c>
      <c r="M98" s="111" t="s">
        <v>50</v>
      </c>
      <c r="N98" s="2" t="s">
        <v>88</v>
      </c>
      <c r="O98" s="24">
        <v>87.45</v>
      </c>
      <c r="P98" s="10">
        <v>10.78308861133945</v>
      </c>
    </row>
    <row r="99" spans="1:16" ht="14.25" customHeight="1">
      <c r="A99" s="270" t="s">
        <v>94</v>
      </c>
      <c r="B99" s="17" t="s">
        <v>89</v>
      </c>
      <c r="C99" s="158" t="s">
        <v>118</v>
      </c>
      <c r="D99" s="109">
        <v>-51.057405457035955</v>
      </c>
      <c r="E99" s="109">
        <v>3.8951010000000008E-2</v>
      </c>
      <c r="F99" s="17">
        <v>2004</v>
      </c>
      <c r="G99" s="19" t="s">
        <v>90</v>
      </c>
      <c r="H99" s="17" t="s">
        <v>188</v>
      </c>
      <c r="I99" s="17" t="s">
        <v>91</v>
      </c>
      <c r="J99" s="1" t="s">
        <v>20</v>
      </c>
      <c r="K99" s="18">
        <v>900</v>
      </c>
      <c r="L99" s="10">
        <v>73</v>
      </c>
      <c r="M99" s="111" t="s">
        <v>50</v>
      </c>
      <c r="N99" s="2" t="s">
        <v>88</v>
      </c>
      <c r="O99" s="24">
        <v>64.266666666666666</v>
      </c>
      <c r="P99" s="10">
        <v>14.123974889055352</v>
      </c>
    </row>
    <row r="100" spans="1:16" ht="14.25" customHeight="1">
      <c r="A100" s="270" t="s">
        <v>94</v>
      </c>
      <c r="B100" s="17" t="s">
        <v>89</v>
      </c>
      <c r="C100" s="158" t="s">
        <v>119</v>
      </c>
      <c r="D100" s="109">
        <v>-60.023335181061036</v>
      </c>
      <c r="E100" s="109">
        <v>-3.1346914912019459</v>
      </c>
      <c r="F100" s="17">
        <v>2004</v>
      </c>
      <c r="G100" s="19" t="s">
        <v>90</v>
      </c>
      <c r="H100" s="17" t="s">
        <v>188</v>
      </c>
      <c r="I100" s="17" t="s">
        <v>91</v>
      </c>
      <c r="J100" s="1" t="s">
        <v>20</v>
      </c>
      <c r="K100" s="18">
        <v>750</v>
      </c>
      <c r="L100" s="10">
        <v>73</v>
      </c>
      <c r="M100" s="111" t="s">
        <v>50</v>
      </c>
      <c r="N100" s="2" t="s">
        <v>88</v>
      </c>
      <c r="O100" s="24">
        <v>96.96</v>
      </c>
      <c r="P100" s="10">
        <v>2.8849610049357692</v>
      </c>
    </row>
    <row r="101" spans="1:16" ht="14.25" customHeight="1">
      <c r="A101" s="270" t="s">
        <v>94</v>
      </c>
      <c r="B101" s="17" t="s">
        <v>89</v>
      </c>
      <c r="C101" s="17" t="s">
        <v>123</v>
      </c>
      <c r="D101" s="109">
        <v>-38.488061484007851</v>
      </c>
      <c r="E101" s="109">
        <v>-13.014771911532753</v>
      </c>
      <c r="F101" s="17">
        <v>2004</v>
      </c>
      <c r="G101" s="19" t="s">
        <v>90</v>
      </c>
      <c r="H101" s="17" t="s">
        <v>188</v>
      </c>
      <c r="I101" s="17" t="s">
        <v>91</v>
      </c>
      <c r="J101" s="1" t="s">
        <v>20</v>
      </c>
      <c r="K101" s="18">
        <v>900</v>
      </c>
      <c r="L101" s="10">
        <v>73</v>
      </c>
      <c r="M101" s="111" t="s">
        <v>50</v>
      </c>
      <c r="N101" s="2" t="s">
        <v>88</v>
      </c>
      <c r="O101" s="24">
        <v>88.733333333333334</v>
      </c>
      <c r="P101" s="10">
        <v>11.778568107655079</v>
      </c>
    </row>
    <row r="102" spans="1:16" ht="14.25" customHeight="1">
      <c r="A102" s="270" t="s">
        <v>94</v>
      </c>
      <c r="B102" s="17" t="s">
        <v>89</v>
      </c>
      <c r="C102" s="17" t="s">
        <v>121</v>
      </c>
      <c r="D102" s="109">
        <v>-35.090646545537375</v>
      </c>
      <c r="E102" s="109">
        <v>-8.7046892785391865</v>
      </c>
      <c r="F102" s="17">
        <v>2004</v>
      </c>
      <c r="G102" s="19" t="s">
        <v>90</v>
      </c>
      <c r="H102" s="17" t="s">
        <v>188</v>
      </c>
      <c r="I102" s="17" t="s">
        <v>91</v>
      </c>
      <c r="J102" s="1" t="s">
        <v>20</v>
      </c>
      <c r="K102" s="18">
        <v>600</v>
      </c>
      <c r="L102" s="10">
        <v>73</v>
      </c>
      <c r="M102" s="111" t="s">
        <v>50</v>
      </c>
      <c r="N102" s="2" t="s">
        <v>88</v>
      </c>
      <c r="O102" s="24">
        <v>88.15</v>
      </c>
      <c r="P102" s="10">
        <v>5.9129800721238155</v>
      </c>
    </row>
    <row r="103" spans="1:16" ht="14.25" customHeight="1">
      <c r="A103" s="270" t="s">
        <v>94</v>
      </c>
      <c r="B103" s="17" t="s">
        <v>89</v>
      </c>
      <c r="C103" s="17" t="s">
        <v>120</v>
      </c>
      <c r="D103" s="109">
        <v>-42.805270458223347</v>
      </c>
      <c r="E103" s="109">
        <v>-5.0863419523217006</v>
      </c>
      <c r="F103" s="17">
        <v>2004</v>
      </c>
      <c r="G103" s="19" t="s">
        <v>90</v>
      </c>
      <c r="H103" s="17" t="s">
        <v>188</v>
      </c>
      <c r="I103" s="17" t="s">
        <v>91</v>
      </c>
      <c r="J103" s="1" t="s">
        <v>20</v>
      </c>
      <c r="K103" s="18">
        <v>750</v>
      </c>
      <c r="L103" s="10">
        <v>73</v>
      </c>
      <c r="M103" s="111" t="s">
        <v>50</v>
      </c>
      <c r="N103" s="2" t="s">
        <v>88</v>
      </c>
      <c r="O103" s="24">
        <v>54.660000000000004</v>
      </c>
      <c r="P103" s="10">
        <v>23.407755125171661</v>
      </c>
    </row>
    <row r="104" spans="1:16" ht="14.25" customHeight="1">
      <c r="A104" s="270" t="s">
        <v>94</v>
      </c>
      <c r="B104" s="17" t="s">
        <v>89</v>
      </c>
      <c r="C104" s="17" t="s">
        <v>96</v>
      </c>
      <c r="D104" s="127">
        <v>-41.778170592024502</v>
      </c>
      <c r="E104" s="127">
        <v>-2.9033601445089237</v>
      </c>
      <c r="F104" s="17">
        <v>2004</v>
      </c>
      <c r="G104" s="19" t="s">
        <v>90</v>
      </c>
      <c r="H104" s="17" t="s">
        <v>188</v>
      </c>
      <c r="I104" s="17" t="s">
        <v>91</v>
      </c>
      <c r="J104" s="1" t="s">
        <v>20</v>
      </c>
      <c r="K104" s="18">
        <v>900</v>
      </c>
      <c r="L104" s="10">
        <v>73</v>
      </c>
      <c r="M104" s="111" t="s">
        <v>50</v>
      </c>
      <c r="N104" s="2" t="s">
        <v>88</v>
      </c>
      <c r="O104" s="24">
        <v>76.766666666666666</v>
      </c>
      <c r="P104" s="10">
        <v>18.695525311332307</v>
      </c>
    </row>
    <row r="105" spans="1:16" ht="14.25" customHeight="1" thickBot="1">
      <c r="A105" s="11" t="s">
        <v>94</v>
      </c>
      <c r="B105" s="21" t="s">
        <v>89</v>
      </c>
      <c r="C105" s="11" t="s">
        <v>117</v>
      </c>
      <c r="D105" s="110">
        <v>-40.503552159443394</v>
      </c>
      <c r="E105" s="110">
        <v>-9.4107170962278648</v>
      </c>
      <c r="F105" s="21">
        <v>2004</v>
      </c>
      <c r="G105" s="22" t="s">
        <v>90</v>
      </c>
      <c r="H105" s="21" t="s">
        <v>188</v>
      </c>
      <c r="I105" s="21" t="s">
        <v>91</v>
      </c>
      <c r="J105" s="49" t="s">
        <v>20</v>
      </c>
      <c r="K105" s="21">
        <v>900</v>
      </c>
      <c r="L105" s="30">
        <v>73</v>
      </c>
      <c r="M105" s="114" t="s">
        <v>50</v>
      </c>
      <c r="N105" s="49" t="s">
        <v>88</v>
      </c>
      <c r="O105" s="25">
        <v>69.466666666666654</v>
      </c>
      <c r="P105" s="30">
        <v>16.435895675826977</v>
      </c>
    </row>
    <row r="106" spans="1:16" ht="14.25" customHeight="1">
      <c r="A106" s="270" t="s">
        <v>94</v>
      </c>
      <c r="B106" s="17" t="s">
        <v>89</v>
      </c>
      <c r="C106" s="20" t="s">
        <v>124</v>
      </c>
      <c r="D106" s="261"/>
      <c r="E106" s="262"/>
      <c r="F106" s="17">
        <v>2004</v>
      </c>
      <c r="G106" s="19" t="s">
        <v>90</v>
      </c>
      <c r="H106" s="17" t="s">
        <v>188</v>
      </c>
      <c r="I106" s="17" t="s">
        <v>91</v>
      </c>
      <c r="J106" s="158" t="s">
        <v>93</v>
      </c>
      <c r="K106" s="18">
        <v>450</v>
      </c>
      <c r="L106" s="10">
        <v>146</v>
      </c>
      <c r="M106" s="111" t="s">
        <v>50</v>
      </c>
      <c r="N106" s="17" t="s">
        <v>88</v>
      </c>
      <c r="O106" s="18">
        <v>100</v>
      </c>
      <c r="P106" s="24">
        <v>0</v>
      </c>
    </row>
    <row r="107" spans="1:16" ht="14.25" customHeight="1">
      <c r="A107" s="270" t="s">
        <v>94</v>
      </c>
      <c r="B107" s="17" t="s">
        <v>89</v>
      </c>
      <c r="C107" s="158" t="s">
        <v>100</v>
      </c>
      <c r="D107" s="109">
        <v>-50.439226072752582</v>
      </c>
      <c r="E107" s="109">
        <v>-21.205476000000004</v>
      </c>
      <c r="F107" s="17">
        <v>2004</v>
      </c>
      <c r="G107" s="19" t="s">
        <v>90</v>
      </c>
      <c r="H107" s="17" t="s">
        <v>188</v>
      </c>
      <c r="I107" s="17" t="s">
        <v>91</v>
      </c>
      <c r="J107" s="158" t="s">
        <v>93</v>
      </c>
      <c r="K107" s="50">
        <v>600</v>
      </c>
      <c r="L107" s="10">
        <v>292</v>
      </c>
      <c r="M107" s="111" t="s">
        <v>50</v>
      </c>
      <c r="N107" s="17" t="s">
        <v>88</v>
      </c>
      <c r="O107" s="24">
        <v>90.325000000000003</v>
      </c>
      <c r="P107" s="18">
        <v>10.5</v>
      </c>
    </row>
    <row r="108" spans="1:16" ht="14.25" customHeight="1">
      <c r="A108" s="270" t="s">
        <v>94</v>
      </c>
      <c r="B108" s="17" t="s">
        <v>89</v>
      </c>
      <c r="C108" s="158" t="s">
        <v>101</v>
      </c>
      <c r="D108" s="109">
        <v>-48.567377839455055</v>
      </c>
      <c r="E108" s="109">
        <v>-20.558455515000002</v>
      </c>
      <c r="F108" s="17">
        <v>2004</v>
      </c>
      <c r="G108" s="19" t="s">
        <v>90</v>
      </c>
      <c r="H108" s="17" t="s">
        <v>188</v>
      </c>
      <c r="I108" s="17" t="s">
        <v>91</v>
      </c>
      <c r="J108" s="158" t="s">
        <v>93</v>
      </c>
      <c r="K108" s="17">
        <v>600</v>
      </c>
      <c r="L108" s="10">
        <v>292</v>
      </c>
      <c r="M108" s="111" t="s">
        <v>50</v>
      </c>
      <c r="N108" s="17" t="s">
        <v>88</v>
      </c>
      <c r="O108" s="18">
        <v>100</v>
      </c>
      <c r="P108" s="24">
        <v>0</v>
      </c>
    </row>
    <row r="109" spans="1:16" ht="14.25" customHeight="1">
      <c r="A109" s="270" t="s">
        <v>94</v>
      </c>
      <c r="B109" s="17" t="s">
        <v>89</v>
      </c>
      <c r="C109" s="158" t="s">
        <v>102</v>
      </c>
      <c r="D109" s="109">
        <v>-49.083000867090362</v>
      </c>
      <c r="E109" s="109">
        <v>-22.325122500000006</v>
      </c>
      <c r="F109" s="17">
        <v>2004</v>
      </c>
      <c r="G109" s="19" t="s">
        <v>90</v>
      </c>
      <c r="H109" s="17" t="s">
        <v>188</v>
      </c>
      <c r="I109" s="17" t="s">
        <v>91</v>
      </c>
      <c r="J109" s="158" t="s">
        <v>93</v>
      </c>
      <c r="K109" s="50">
        <v>750</v>
      </c>
      <c r="L109" s="10">
        <v>292</v>
      </c>
      <c r="M109" s="111" t="s">
        <v>50</v>
      </c>
      <c r="N109" s="17" t="s">
        <v>88</v>
      </c>
      <c r="O109" s="18">
        <v>98.4</v>
      </c>
      <c r="P109" s="24">
        <v>3</v>
      </c>
    </row>
    <row r="110" spans="1:16" ht="14.25" customHeight="1">
      <c r="A110" s="270" t="s">
        <v>94</v>
      </c>
      <c r="B110" s="17" t="s">
        <v>89</v>
      </c>
      <c r="C110" s="158" t="s">
        <v>103</v>
      </c>
      <c r="D110" s="109">
        <v>-48.441289384350434</v>
      </c>
      <c r="E110" s="109">
        <v>-22.888381500000008</v>
      </c>
      <c r="F110" s="17">
        <v>2004</v>
      </c>
      <c r="G110" s="19" t="s">
        <v>90</v>
      </c>
      <c r="H110" s="17" t="s">
        <v>188</v>
      </c>
      <c r="I110" s="17" t="s">
        <v>91</v>
      </c>
      <c r="J110" s="158" t="s">
        <v>93</v>
      </c>
      <c r="K110" s="17">
        <v>600</v>
      </c>
      <c r="L110" s="10">
        <v>292</v>
      </c>
      <c r="M110" s="111" t="s">
        <v>50</v>
      </c>
      <c r="N110" s="17" t="s">
        <v>88</v>
      </c>
      <c r="O110" s="18">
        <v>100</v>
      </c>
      <c r="P110" s="24">
        <v>0</v>
      </c>
    </row>
    <row r="111" spans="1:16" ht="14.25" customHeight="1">
      <c r="A111" s="270" t="s">
        <v>94</v>
      </c>
      <c r="B111" s="17" t="s">
        <v>89</v>
      </c>
      <c r="C111" s="158" t="s">
        <v>104</v>
      </c>
      <c r="D111" s="109">
        <v>-47.06015627297316</v>
      </c>
      <c r="E111" s="109">
        <v>-22.907342500000002</v>
      </c>
      <c r="F111" s="17">
        <v>2004</v>
      </c>
      <c r="G111" s="19" t="s">
        <v>90</v>
      </c>
      <c r="H111" s="17" t="s">
        <v>188</v>
      </c>
      <c r="I111" s="17" t="s">
        <v>91</v>
      </c>
      <c r="J111" s="158" t="s">
        <v>93</v>
      </c>
      <c r="K111" s="17">
        <v>600</v>
      </c>
      <c r="L111" s="10">
        <v>292</v>
      </c>
      <c r="M111" s="111" t="s">
        <v>50</v>
      </c>
      <c r="N111" s="17" t="s">
        <v>88</v>
      </c>
      <c r="O111" s="18">
        <v>100</v>
      </c>
      <c r="P111" s="24">
        <v>0</v>
      </c>
    </row>
    <row r="112" spans="1:16" ht="14.25" customHeight="1">
      <c r="A112" s="270" t="s">
        <v>94</v>
      </c>
      <c r="B112" s="17" t="s">
        <v>89</v>
      </c>
      <c r="C112" s="158" t="s">
        <v>105</v>
      </c>
      <c r="D112" s="109">
        <v>-46.570383182112749</v>
      </c>
      <c r="E112" s="109">
        <v>-23.567386500000001</v>
      </c>
      <c r="F112" s="17">
        <v>2004</v>
      </c>
      <c r="G112" s="19" t="s">
        <v>90</v>
      </c>
      <c r="H112" s="17" t="s">
        <v>188</v>
      </c>
      <c r="I112" s="17" t="s">
        <v>91</v>
      </c>
      <c r="J112" s="158" t="s">
        <v>93</v>
      </c>
      <c r="K112" s="50">
        <v>750</v>
      </c>
      <c r="L112" s="10">
        <v>292</v>
      </c>
      <c r="M112" s="111" t="s">
        <v>50</v>
      </c>
      <c r="N112" s="17" t="s">
        <v>88</v>
      </c>
      <c r="O112" s="24">
        <v>99.039999999999992</v>
      </c>
      <c r="P112" s="24">
        <v>1</v>
      </c>
    </row>
    <row r="113" spans="1:16" ht="14.25" customHeight="1">
      <c r="A113" s="270" t="s">
        <v>94</v>
      </c>
      <c r="B113" s="17" t="s">
        <v>89</v>
      </c>
      <c r="C113" s="158" t="s">
        <v>106</v>
      </c>
      <c r="D113" s="109">
        <v>-46.933372863488053</v>
      </c>
      <c r="E113" s="109">
        <v>-23.546934000000004</v>
      </c>
      <c r="F113" s="17">
        <v>2004</v>
      </c>
      <c r="G113" s="19" t="s">
        <v>90</v>
      </c>
      <c r="H113" s="17" t="s">
        <v>188</v>
      </c>
      <c r="I113" s="17" t="s">
        <v>91</v>
      </c>
      <c r="J113" s="158" t="s">
        <v>93</v>
      </c>
      <c r="K113" s="50">
        <v>750</v>
      </c>
      <c r="L113" s="10">
        <v>292</v>
      </c>
      <c r="M113" s="111" t="s">
        <v>50</v>
      </c>
      <c r="N113" s="17" t="s">
        <v>88</v>
      </c>
      <c r="O113" s="18">
        <v>100</v>
      </c>
      <c r="P113" s="24">
        <v>0</v>
      </c>
    </row>
    <row r="114" spans="1:16" ht="14.25" customHeight="1">
      <c r="A114" s="270" t="s">
        <v>94</v>
      </c>
      <c r="B114" s="17" t="s">
        <v>89</v>
      </c>
      <c r="C114" s="158" t="s">
        <v>107</v>
      </c>
      <c r="D114" s="109">
        <v>-49.951645643103269</v>
      </c>
      <c r="E114" s="109">
        <v>-22.122743500000002</v>
      </c>
      <c r="F114" s="17">
        <v>2004</v>
      </c>
      <c r="G114" s="19" t="s">
        <v>90</v>
      </c>
      <c r="H114" s="17" t="s">
        <v>188</v>
      </c>
      <c r="I114" s="17" t="s">
        <v>91</v>
      </c>
      <c r="J114" s="158" t="s">
        <v>93</v>
      </c>
      <c r="K114" s="50">
        <v>600</v>
      </c>
      <c r="L114" s="10">
        <v>292</v>
      </c>
      <c r="M114" s="111" t="s">
        <v>50</v>
      </c>
      <c r="N114" s="17" t="s">
        <v>88</v>
      </c>
      <c r="O114" s="18">
        <v>100</v>
      </c>
      <c r="P114" s="24">
        <v>0</v>
      </c>
    </row>
    <row r="115" spans="1:16" ht="14.25" customHeight="1">
      <c r="A115" s="270" t="s">
        <v>94</v>
      </c>
      <c r="B115" s="17" t="s">
        <v>89</v>
      </c>
      <c r="C115" s="158" t="s">
        <v>108</v>
      </c>
      <c r="D115" s="109">
        <v>-51.386765581912492</v>
      </c>
      <c r="E115" s="109">
        <v>-24.494251427999906</v>
      </c>
      <c r="F115" s="17">
        <v>2004</v>
      </c>
      <c r="G115" s="19" t="s">
        <v>90</v>
      </c>
      <c r="H115" s="17" t="s">
        <v>188</v>
      </c>
      <c r="I115" s="17" t="s">
        <v>91</v>
      </c>
      <c r="J115" s="158" t="s">
        <v>93</v>
      </c>
      <c r="K115" s="50">
        <v>600</v>
      </c>
      <c r="L115" s="10">
        <v>292</v>
      </c>
      <c r="M115" s="111" t="s">
        <v>50</v>
      </c>
      <c r="N115" s="17" t="s">
        <v>88</v>
      </c>
      <c r="O115" s="18">
        <v>100</v>
      </c>
      <c r="P115" s="24">
        <v>0</v>
      </c>
    </row>
    <row r="116" spans="1:16" ht="14.25" customHeight="1">
      <c r="A116" s="270" t="s">
        <v>94</v>
      </c>
      <c r="B116" s="17" t="s">
        <v>89</v>
      </c>
      <c r="C116" s="158" t="s">
        <v>109</v>
      </c>
      <c r="D116" s="109">
        <v>-47.805475915541528</v>
      </c>
      <c r="E116" s="109">
        <v>-21.184834500000004</v>
      </c>
      <c r="F116" s="17">
        <v>2004</v>
      </c>
      <c r="G116" s="19" t="s">
        <v>90</v>
      </c>
      <c r="H116" s="17" t="s">
        <v>188</v>
      </c>
      <c r="I116" s="17" t="s">
        <v>91</v>
      </c>
      <c r="J116" s="158" t="s">
        <v>93</v>
      </c>
      <c r="K116" s="17">
        <v>600</v>
      </c>
      <c r="L116" s="10">
        <v>292</v>
      </c>
      <c r="M116" s="111" t="s">
        <v>50</v>
      </c>
      <c r="N116" s="17" t="s">
        <v>88</v>
      </c>
      <c r="O116" s="18">
        <v>100</v>
      </c>
      <c r="P116" s="24">
        <v>0</v>
      </c>
    </row>
    <row r="117" spans="1:16" ht="14.25" customHeight="1">
      <c r="A117" s="270" t="s">
        <v>94</v>
      </c>
      <c r="B117" s="17" t="s">
        <v>89</v>
      </c>
      <c r="C117" s="158" t="s">
        <v>110</v>
      </c>
      <c r="D117" s="109">
        <v>-46.331370849190684</v>
      </c>
      <c r="E117" s="109">
        <v>-23.933737500000003</v>
      </c>
      <c r="F117" s="17">
        <v>2004</v>
      </c>
      <c r="G117" s="19" t="s">
        <v>90</v>
      </c>
      <c r="H117" s="17" t="s">
        <v>188</v>
      </c>
      <c r="I117" s="17" t="s">
        <v>91</v>
      </c>
      <c r="J117" s="158" t="s">
        <v>93</v>
      </c>
      <c r="K117" s="50">
        <v>60</v>
      </c>
      <c r="L117" s="10">
        <v>292</v>
      </c>
      <c r="M117" s="111" t="s">
        <v>50</v>
      </c>
      <c r="N117" s="17" t="s">
        <v>88</v>
      </c>
      <c r="O117" s="18">
        <v>100</v>
      </c>
      <c r="P117" s="24">
        <v>0</v>
      </c>
    </row>
    <row r="118" spans="1:16" ht="14.25" customHeight="1">
      <c r="A118" s="270" t="s">
        <v>94</v>
      </c>
      <c r="B118" s="17" t="s">
        <v>89</v>
      </c>
      <c r="C118" s="158" t="s">
        <v>111</v>
      </c>
      <c r="D118" s="109">
        <v>-47.889237684691636</v>
      </c>
      <c r="E118" s="109">
        <v>-22.015998500000002</v>
      </c>
      <c r="F118" s="17">
        <v>2004</v>
      </c>
      <c r="G118" s="19" t="s">
        <v>90</v>
      </c>
      <c r="H118" s="17" t="s">
        <v>188</v>
      </c>
      <c r="I118" s="17" t="s">
        <v>91</v>
      </c>
      <c r="J118" s="158" t="s">
        <v>93</v>
      </c>
      <c r="K118" s="17">
        <v>600</v>
      </c>
      <c r="L118" s="10">
        <v>292</v>
      </c>
      <c r="M118" s="111" t="s">
        <v>50</v>
      </c>
      <c r="N118" s="17" t="s">
        <v>88</v>
      </c>
      <c r="O118" s="18">
        <v>100</v>
      </c>
      <c r="P118" s="24">
        <v>0</v>
      </c>
    </row>
    <row r="119" spans="1:16" ht="14.25" customHeight="1">
      <c r="A119" s="270" t="s">
        <v>94</v>
      </c>
      <c r="B119" s="17" t="s">
        <v>89</v>
      </c>
      <c r="C119" s="158" t="s">
        <v>112</v>
      </c>
      <c r="D119" s="109">
        <v>-49.381347685025794</v>
      </c>
      <c r="E119" s="109">
        <v>-20.812636500000004</v>
      </c>
      <c r="F119" s="17">
        <v>2004</v>
      </c>
      <c r="G119" s="19" t="s">
        <v>90</v>
      </c>
      <c r="H119" s="17" t="s">
        <v>188</v>
      </c>
      <c r="I119" s="17" t="s">
        <v>91</v>
      </c>
      <c r="J119" s="158" t="s">
        <v>93</v>
      </c>
      <c r="K119" s="50">
        <v>600</v>
      </c>
      <c r="L119" s="10">
        <v>292</v>
      </c>
      <c r="M119" s="111" t="s">
        <v>50</v>
      </c>
      <c r="N119" s="17" t="s">
        <v>88</v>
      </c>
      <c r="O119" s="18">
        <v>100</v>
      </c>
      <c r="P119" s="24">
        <v>0</v>
      </c>
    </row>
    <row r="120" spans="1:16" ht="14.25" customHeight="1">
      <c r="A120" s="270" t="s">
        <v>94</v>
      </c>
      <c r="B120" s="17" t="s">
        <v>89</v>
      </c>
      <c r="C120" s="158" t="s">
        <v>113</v>
      </c>
      <c r="D120" s="109">
        <v>-45.402680140543957</v>
      </c>
      <c r="E120" s="109">
        <v>-23.806687652148753</v>
      </c>
      <c r="F120" s="17">
        <v>2004</v>
      </c>
      <c r="G120" s="19" t="s">
        <v>90</v>
      </c>
      <c r="H120" s="17" t="s">
        <v>188</v>
      </c>
      <c r="I120" s="17" t="s">
        <v>91</v>
      </c>
      <c r="J120" s="158" t="s">
        <v>93</v>
      </c>
      <c r="K120" s="17">
        <v>750</v>
      </c>
      <c r="L120" s="10">
        <v>292</v>
      </c>
      <c r="M120" s="111" t="s">
        <v>50</v>
      </c>
      <c r="N120" s="17" t="s">
        <v>88</v>
      </c>
      <c r="O120" s="24">
        <v>96.960000000000008</v>
      </c>
      <c r="P120" s="18">
        <v>2.8</v>
      </c>
    </row>
    <row r="121" spans="1:16" ht="14.25" customHeight="1">
      <c r="A121" s="270" t="s">
        <v>94</v>
      </c>
      <c r="B121" s="17" t="s">
        <v>89</v>
      </c>
      <c r="C121" s="158" t="s">
        <v>114</v>
      </c>
      <c r="D121" s="109">
        <v>-47.457853253204043</v>
      </c>
      <c r="E121" s="109">
        <v>-23.499323</v>
      </c>
      <c r="F121" s="17">
        <v>2004</v>
      </c>
      <c r="G121" s="19" t="s">
        <v>90</v>
      </c>
      <c r="H121" s="17" t="s">
        <v>188</v>
      </c>
      <c r="I121" s="17" t="s">
        <v>91</v>
      </c>
      <c r="J121" s="158" t="s">
        <v>93</v>
      </c>
      <c r="K121" s="17">
        <v>750</v>
      </c>
      <c r="L121" s="10">
        <v>292</v>
      </c>
      <c r="M121" s="111" t="s">
        <v>50</v>
      </c>
      <c r="N121" s="17" t="s">
        <v>88</v>
      </c>
      <c r="O121" s="24">
        <v>99.38</v>
      </c>
      <c r="P121" s="18">
        <v>0.5</v>
      </c>
    </row>
    <row r="122" spans="1:16" ht="14.25" customHeight="1">
      <c r="A122" s="270" t="s">
        <v>94</v>
      </c>
      <c r="B122" s="17" t="s">
        <v>89</v>
      </c>
      <c r="C122" s="17" t="s">
        <v>115</v>
      </c>
      <c r="D122" s="109">
        <v>-60.670532672965052</v>
      </c>
      <c r="E122" s="109">
        <v>2.8166819191043904</v>
      </c>
      <c r="F122" s="17">
        <v>2004</v>
      </c>
      <c r="G122" s="19" t="s">
        <v>90</v>
      </c>
      <c r="H122" s="17" t="s">
        <v>188</v>
      </c>
      <c r="I122" s="17" t="s">
        <v>91</v>
      </c>
      <c r="J122" s="158" t="s">
        <v>93</v>
      </c>
      <c r="K122" s="17">
        <v>750</v>
      </c>
      <c r="L122" s="10">
        <v>292</v>
      </c>
      <c r="M122" s="111" t="s">
        <v>50</v>
      </c>
      <c r="N122" s="17" t="s">
        <v>88</v>
      </c>
      <c r="O122" s="24">
        <v>97.38</v>
      </c>
      <c r="P122" s="18">
        <v>0.4</v>
      </c>
    </row>
    <row r="123" spans="1:16" ht="14.25" customHeight="1">
      <c r="A123" s="270" t="s">
        <v>94</v>
      </c>
      <c r="B123" s="17" t="s">
        <v>89</v>
      </c>
      <c r="C123" s="158" t="s">
        <v>116</v>
      </c>
      <c r="D123" s="109">
        <v>-38.589927555043182</v>
      </c>
      <c r="E123" s="109">
        <v>-3.7238050350000007</v>
      </c>
      <c r="F123" s="17">
        <v>2004</v>
      </c>
      <c r="G123" s="19" t="s">
        <v>90</v>
      </c>
      <c r="H123" s="17" t="s">
        <v>188</v>
      </c>
      <c r="I123" s="17" t="s">
        <v>91</v>
      </c>
      <c r="J123" s="158" t="s">
        <v>93</v>
      </c>
      <c r="K123" s="17">
        <v>750</v>
      </c>
      <c r="L123" s="10">
        <v>292</v>
      </c>
      <c r="M123" s="111" t="s">
        <v>50</v>
      </c>
      <c r="N123" s="17" t="s">
        <v>88</v>
      </c>
      <c r="O123" s="24">
        <v>96.08</v>
      </c>
      <c r="P123" s="18">
        <v>0.5</v>
      </c>
    </row>
    <row r="124" spans="1:16" ht="14.25" customHeight="1">
      <c r="A124" s="270" t="s">
        <v>94</v>
      </c>
      <c r="B124" s="17" t="s">
        <v>89</v>
      </c>
      <c r="C124" s="17" t="s">
        <v>122</v>
      </c>
      <c r="D124" s="109">
        <v>-39.273108952008137</v>
      </c>
      <c r="E124" s="109">
        <v>-14.789039548603002</v>
      </c>
      <c r="F124" s="17">
        <v>2004</v>
      </c>
      <c r="G124" s="19" t="s">
        <v>90</v>
      </c>
      <c r="H124" s="17" t="s">
        <v>188</v>
      </c>
      <c r="I124" s="17" t="s">
        <v>91</v>
      </c>
      <c r="J124" s="158" t="s">
        <v>93</v>
      </c>
      <c r="K124" s="17">
        <v>750</v>
      </c>
      <c r="L124" s="10">
        <v>292</v>
      </c>
      <c r="M124" s="111" t="s">
        <v>50</v>
      </c>
      <c r="N124" s="17" t="s">
        <v>88</v>
      </c>
      <c r="O124" s="51">
        <v>100</v>
      </c>
      <c r="P124" s="24">
        <v>0</v>
      </c>
    </row>
    <row r="125" spans="1:16" ht="14.25" customHeight="1">
      <c r="A125" s="270" t="s">
        <v>94</v>
      </c>
      <c r="B125" s="17" t="s">
        <v>89</v>
      </c>
      <c r="C125" s="158" t="s">
        <v>118</v>
      </c>
      <c r="D125" s="109">
        <v>-51.057405457035955</v>
      </c>
      <c r="E125" s="109">
        <v>3.8951010000000008E-2</v>
      </c>
      <c r="F125" s="17">
        <v>2004</v>
      </c>
      <c r="G125" s="19" t="s">
        <v>90</v>
      </c>
      <c r="H125" s="17" t="s">
        <v>188</v>
      </c>
      <c r="I125" s="17" t="s">
        <v>91</v>
      </c>
      <c r="J125" s="158" t="s">
        <v>93</v>
      </c>
      <c r="K125" s="17">
        <v>750</v>
      </c>
      <c r="L125" s="10">
        <v>292</v>
      </c>
      <c r="M125" s="111" t="s">
        <v>50</v>
      </c>
      <c r="N125" s="17" t="s">
        <v>88</v>
      </c>
      <c r="O125" s="24">
        <v>91.559999999999988</v>
      </c>
      <c r="P125" s="18">
        <v>7.7</v>
      </c>
    </row>
    <row r="126" spans="1:16" ht="14.25" customHeight="1">
      <c r="A126" s="270" t="s">
        <v>94</v>
      </c>
      <c r="B126" s="17" t="s">
        <v>89</v>
      </c>
      <c r="C126" s="158" t="s">
        <v>119</v>
      </c>
      <c r="D126" s="109">
        <v>-60.023335181061036</v>
      </c>
      <c r="E126" s="109">
        <v>-3.1346914912019459</v>
      </c>
      <c r="F126" s="17">
        <v>2004</v>
      </c>
      <c r="G126" s="19" t="s">
        <v>90</v>
      </c>
      <c r="H126" s="17" t="s">
        <v>188</v>
      </c>
      <c r="I126" s="17" t="s">
        <v>91</v>
      </c>
      <c r="J126" s="158" t="s">
        <v>93</v>
      </c>
      <c r="K126" s="17">
        <v>600</v>
      </c>
      <c r="L126" s="10">
        <v>292</v>
      </c>
      <c r="M126" s="111" t="s">
        <v>50</v>
      </c>
      <c r="N126" s="17" t="s">
        <v>88</v>
      </c>
      <c r="O126" s="24">
        <v>99.75</v>
      </c>
      <c r="P126" s="18">
        <v>0.3</v>
      </c>
    </row>
    <row r="127" spans="1:16" ht="14.25" customHeight="1">
      <c r="A127" s="270" t="s">
        <v>94</v>
      </c>
      <c r="B127" s="17" t="s">
        <v>89</v>
      </c>
      <c r="C127" s="17" t="s">
        <v>123</v>
      </c>
      <c r="D127" s="109">
        <v>-38.488061484007851</v>
      </c>
      <c r="E127" s="109">
        <v>-13.014771911532753</v>
      </c>
      <c r="F127" s="17">
        <v>2004</v>
      </c>
      <c r="G127" s="19" t="s">
        <v>90</v>
      </c>
      <c r="H127" s="17" t="s">
        <v>188</v>
      </c>
      <c r="I127" s="17" t="s">
        <v>91</v>
      </c>
      <c r="J127" s="158" t="s">
        <v>93</v>
      </c>
      <c r="K127" s="17">
        <v>600</v>
      </c>
      <c r="L127" s="10">
        <v>292</v>
      </c>
      <c r="M127" s="111" t="s">
        <v>50</v>
      </c>
      <c r="N127" s="17" t="s">
        <v>88</v>
      </c>
      <c r="O127" s="51">
        <v>100</v>
      </c>
      <c r="P127" s="24">
        <v>0</v>
      </c>
    </row>
    <row r="128" spans="1:16" ht="14.25" customHeight="1">
      <c r="A128" s="270" t="s">
        <v>94</v>
      </c>
      <c r="B128" s="17" t="s">
        <v>89</v>
      </c>
      <c r="C128" s="17" t="s">
        <v>121</v>
      </c>
      <c r="D128" s="109">
        <v>-35.090646545537375</v>
      </c>
      <c r="E128" s="109">
        <v>-8.7046892785391865</v>
      </c>
      <c r="F128" s="17">
        <v>2004</v>
      </c>
      <c r="G128" s="19" t="s">
        <v>90</v>
      </c>
      <c r="H128" s="17" t="s">
        <v>188</v>
      </c>
      <c r="I128" s="17" t="s">
        <v>91</v>
      </c>
      <c r="J128" s="158" t="s">
        <v>93</v>
      </c>
      <c r="K128" s="17">
        <v>600</v>
      </c>
      <c r="L128" s="10">
        <v>292</v>
      </c>
      <c r="M128" s="111" t="s">
        <v>50</v>
      </c>
      <c r="N128" s="17" t="s">
        <v>88</v>
      </c>
      <c r="O128" s="51">
        <v>100</v>
      </c>
      <c r="P128" s="24">
        <v>0</v>
      </c>
    </row>
    <row r="129" spans="1:16" ht="14.25" customHeight="1">
      <c r="A129" s="270" t="s">
        <v>94</v>
      </c>
      <c r="B129" s="17" t="s">
        <v>89</v>
      </c>
      <c r="C129" s="17" t="s">
        <v>120</v>
      </c>
      <c r="D129" s="109">
        <v>-42.805270458223347</v>
      </c>
      <c r="E129" s="109">
        <v>-5.0863419523217006</v>
      </c>
      <c r="F129" s="17">
        <v>2004</v>
      </c>
      <c r="G129" s="19" t="s">
        <v>90</v>
      </c>
      <c r="H129" s="17" t="s">
        <v>188</v>
      </c>
      <c r="I129" s="17" t="s">
        <v>91</v>
      </c>
      <c r="J129" s="158" t="s">
        <v>93</v>
      </c>
      <c r="K129" s="17">
        <v>300</v>
      </c>
      <c r="L129" s="10">
        <v>292</v>
      </c>
      <c r="M129" s="111" t="s">
        <v>50</v>
      </c>
      <c r="N129" s="17" t="s">
        <v>88</v>
      </c>
      <c r="O129" s="24">
        <v>98.45</v>
      </c>
      <c r="P129" s="18">
        <v>0.3</v>
      </c>
    </row>
    <row r="130" spans="1:16" ht="14.25" customHeight="1">
      <c r="A130" s="270" t="s">
        <v>94</v>
      </c>
      <c r="B130" s="17" t="s">
        <v>89</v>
      </c>
      <c r="C130" s="17" t="s">
        <v>96</v>
      </c>
      <c r="D130" s="127">
        <v>-41.778170592024502</v>
      </c>
      <c r="E130" s="127">
        <v>-2.9033601445089237</v>
      </c>
      <c r="F130" s="17">
        <v>2004</v>
      </c>
      <c r="G130" s="19" t="s">
        <v>90</v>
      </c>
      <c r="H130" s="17" t="s">
        <v>188</v>
      </c>
      <c r="I130" s="17" t="s">
        <v>91</v>
      </c>
      <c r="J130" s="158" t="s">
        <v>93</v>
      </c>
      <c r="K130" s="17">
        <v>750</v>
      </c>
      <c r="L130" s="10">
        <v>292</v>
      </c>
      <c r="M130" s="111" t="s">
        <v>50</v>
      </c>
      <c r="N130" s="17" t="s">
        <v>88</v>
      </c>
      <c r="O130" s="24">
        <v>98.960000000000008</v>
      </c>
      <c r="P130" s="18">
        <v>0.2</v>
      </c>
    </row>
    <row r="131" spans="1:16" ht="14.25" customHeight="1" thickBot="1">
      <c r="A131" s="11" t="s">
        <v>94</v>
      </c>
      <c r="B131" s="21" t="s">
        <v>89</v>
      </c>
      <c r="C131" s="11" t="s">
        <v>117</v>
      </c>
      <c r="D131" s="110">
        <v>-40.503552159443394</v>
      </c>
      <c r="E131" s="110">
        <v>-9.4107170962278648</v>
      </c>
      <c r="F131" s="21">
        <v>2004</v>
      </c>
      <c r="G131" s="22" t="s">
        <v>90</v>
      </c>
      <c r="H131" s="21" t="s">
        <v>188</v>
      </c>
      <c r="I131" s="21" t="s">
        <v>91</v>
      </c>
      <c r="J131" s="11" t="s">
        <v>93</v>
      </c>
      <c r="K131" s="21">
        <v>600</v>
      </c>
      <c r="L131" s="30">
        <v>292</v>
      </c>
      <c r="M131" s="114" t="s">
        <v>50</v>
      </c>
      <c r="N131" s="21" t="s">
        <v>88</v>
      </c>
      <c r="O131" s="25">
        <v>99.2</v>
      </c>
      <c r="P131" s="21">
        <v>0.1</v>
      </c>
    </row>
    <row r="132" spans="1:16" ht="14.25" customHeight="1">
      <c r="C132" s="17"/>
      <c r="D132" s="17"/>
      <c r="H132" s="17"/>
      <c r="K132" s="17"/>
    </row>
    <row r="133" spans="1:16" ht="14.25" customHeight="1">
      <c r="C133" s="2"/>
      <c r="D133" s="2"/>
      <c r="E133" s="2"/>
      <c r="J133" s="17"/>
    </row>
    <row r="134" spans="1:16" ht="14.25" customHeight="1">
      <c r="C134" s="2"/>
      <c r="D134" s="2"/>
      <c r="E134" s="2"/>
      <c r="J134" s="17"/>
    </row>
    <row r="135" spans="1:16" ht="14.25" customHeight="1">
      <c r="C135" s="2"/>
      <c r="D135" s="2"/>
      <c r="E135" s="2"/>
    </row>
    <row r="136" spans="1:16" ht="14.25" customHeight="1">
      <c r="C136" s="2"/>
      <c r="D136" s="2"/>
      <c r="E136" s="2"/>
    </row>
    <row r="137" spans="1:16" ht="14.25" customHeight="1">
      <c r="C137" s="2"/>
      <c r="D137" s="2"/>
      <c r="E137" s="2"/>
    </row>
    <row r="138" spans="1:16" ht="14.25" customHeight="1">
      <c r="C138" s="2"/>
      <c r="D138" s="2"/>
      <c r="E138" s="2"/>
    </row>
    <row r="139" spans="1:16" ht="14.25" customHeight="1">
      <c r="C139" s="2"/>
      <c r="D139" s="2"/>
      <c r="E139" s="2"/>
    </row>
    <row r="140" spans="1:16" ht="14.25" customHeight="1">
      <c r="C140" s="2"/>
      <c r="D140" s="2"/>
      <c r="E140" s="2"/>
    </row>
    <row r="141" spans="1:16" ht="14.25" customHeight="1">
      <c r="C141" s="2"/>
      <c r="D141" s="2"/>
      <c r="E141" s="2"/>
    </row>
    <row r="142" spans="1:16" ht="14.25" customHeight="1">
      <c r="C142" s="2"/>
      <c r="D142" s="2"/>
      <c r="E142" s="2"/>
    </row>
    <row r="143" spans="1:16" ht="14.25" customHeight="1">
      <c r="C143" s="2"/>
      <c r="D143" s="2"/>
      <c r="E143" s="2"/>
    </row>
    <row r="144" spans="1:16" ht="14.25" customHeight="1">
      <c r="C144" s="2"/>
      <c r="D144" s="2"/>
      <c r="E144" s="2"/>
    </row>
    <row r="145" spans="3:5" ht="14.25" customHeight="1">
      <c r="C145" s="2"/>
      <c r="D145" s="2"/>
      <c r="E145" s="2"/>
    </row>
    <row r="146" spans="3:5" ht="14.25" customHeight="1">
      <c r="C146" s="2"/>
      <c r="D146" s="2"/>
      <c r="E146" s="2"/>
    </row>
    <row r="147" spans="3:5" ht="14.25" customHeight="1">
      <c r="C147" s="2"/>
      <c r="D147" s="2"/>
      <c r="E147" s="2"/>
    </row>
    <row r="148" spans="3:5" ht="14.25" customHeight="1">
      <c r="C148" s="2"/>
      <c r="D148" s="2"/>
      <c r="E148" s="2"/>
    </row>
    <row r="149" spans="3:5" ht="14.25" customHeight="1">
      <c r="C149" s="2"/>
      <c r="D149" s="2"/>
      <c r="E149" s="2"/>
    </row>
    <row r="150" spans="3:5" ht="14.25" customHeight="1">
      <c r="C150" s="2"/>
      <c r="D150" s="2"/>
      <c r="E150" s="2"/>
    </row>
    <row r="151" spans="3:5" ht="14.25" customHeight="1">
      <c r="C151" s="2"/>
    </row>
    <row r="152" spans="3:5" ht="14.25" customHeight="1">
      <c r="C152" s="2"/>
    </row>
    <row r="153" spans="3:5" ht="14.25" customHeight="1">
      <c r="C153" s="2"/>
    </row>
    <row r="154" spans="3:5" ht="14.25" customHeight="1">
      <c r="C154" s="2"/>
    </row>
    <row r="155" spans="3:5" ht="14.25" customHeight="1">
      <c r="C155" s="2"/>
    </row>
    <row r="156" spans="3:5" ht="14.25" customHeight="1">
      <c r="C156" s="2"/>
    </row>
    <row r="157" spans="3:5" ht="14.25" customHeight="1">
      <c r="C157" s="2"/>
    </row>
    <row r="158" spans="3:5" ht="14.25" customHeight="1">
      <c r="C158" s="2"/>
    </row>
    <row r="159" spans="3:5" ht="14.25" customHeight="1">
      <c r="C159" s="2"/>
    </row>
    <row r="160" spans="3:5" ht="14.25" customHeight="1">
      <c r="C160" s="2"/>
    </row>
  </sheetData>
  <sheetCalcPr fullCalcOnLoad="1"/>
  <phoneticPr fontId="48" type="noConversion"/>
  <conditionalFormatting sqref="D3:D4">
    <cfRule type="cellIs" dxfId="215" priority="28" stopIfTrue="1" operator="between">
      <formula>0</formula>
      <formula>79.9</formula>
    </cfRule>
    <cfRule type="cellIs" dxfId="214" priority="29" stopIfTrue="1" operator="between">
      <formula>80</formula>
      <formula>97.9</formula>
    </cfRule>
    <cfRule type="cellIs" dxfId="213" priority="30" stopIfTrue="1" operator="between">
      <formula>98</formula>
      <formula>100</formula>
    </cfRule>
  </conditionalFormatting>
  <conditionalFormatting sqref="D19">
    <cfRule type="cellIs" dxfId="212" priority="25" stopIfTrue="1" operator="between">
      <formula>0</formula>
      <formula>79.9</formula>
    </cfRule>
    <cfRule type="cellIs" dxfId="211" priority="26" stopIfTrue="1" operator="between">
      <formula>80</formula>
      <formula>97.9</formula>
    </cfRule>
    <cfRule type="cellIs" dxfId="210" priority="27" stopIfTrue="1" operator="between">
      <formula>98</formula>
      <formula>100</formula>
    </cfRule>
  </conditionalFormatting>
  <conditionalFormatting sqref="D29:D30">
    <cfRule type="cellIs" dxfId="209" priority="22" stopIfTrue="1" operator="between">
      <formula>0</formula>
      <formula>79.9</formula>
    </cfRule>
    <cfRule type="cellIs" dxfId="208" priority="23" stopIfTrue="1" operator="between">
      <formula>80</formula>
      <formula>97.9</formula>
    </cfRule>
    <cfRule type="cellIs" dxfId="207" priority="24" stopIfTrue="1" operator="between">
      <formula>98</formula>
      <formula>100</formula>
    </cfRule>
  </conditionalFormatting>
  <conditionalFormatting sqref="D45">
    <cfRule type="cellIs" dxfId="206" priority="19" stopIfTrue="1" operator="between">
      <formula>0</formula>
      <formula>79.9</formula>
    </cfRule>
    <cfRule type="cellIs" dxfId="205" priority="20" stopIfTrue="1" operator="between">
      <formula>80</formula>
      <formula>97.9</formula>
    </cfRule>
    <cfRule type="cellIs" dxfId="204" priority="21" stopIfTrue="1" operator="between">
      <formula>98</formula>
      <formula>100</formula>
    </cfRule>
  </conditionalFormatting>
  <conditionalFormatting sqref="D55:D56">
    <cfRule type="cellIs" dxfId="203" priority="16" stopIfTrue="1" operator="between">
      <formula>0</formula>
      <formula>79.9</formula>
    </cfRule>
    <cfRule type="cellIs" dxfId="202" priority="17" stopIfTrue="1" operator="between">
      <formula>80</formula>
      <formula>97.9</formula>
    </cfRule>
    <cfRule type="cellIs" dxfId="201" priority="18" stopIfTrue="1" operator="between">
      <formula>98</formula>
      <formula>100</formula>
    </cfRule>
  </conditionalFormatting>
  <conditionalFormatting sqref="D71">
    <cfRule type="cellIs" dxfId="200" priority="13" stopIfTrue="1" operator="between">
      <formula>0</formula>
      <formula>79.9</formula>
    </cfRule>
    <cfRule type="cellIs" dxfId="199" priority="14" stopIfTrue="1" operator="between">
      <formula>80</formula>
      <formula>97.9</formula>
    </cfRule>
    <cfRule type="cellIs" dxfId="198" priority="15" stopIfTrue="1" operator="between">
      <formula>98</formula>
      <formula>100</formula>
    </cfRule>
  </conditionalFormatting>
  <conditionalFormatting sqref="D81:D82">
    <cfRule type="cellIs" dxfId="197" priority="10" stopIfTrue="1" operator="between">
      <formula>0</formula>
      <formula>79.9</formula>
    </cfRule>
    <cfRule type="cellIs" dxfId="196" priority="11" stopIfTrue="1" operator="between">
      <formula>80</formula>
      <formula>97.9</formula>
    </cfRule>
    <cfRule type="cellIs" dxfId="195" priority="12" stopIfTrue="1" operator="between">
      <formula>98</formula>
      <formula>100</formula>
    </cfRule>
  </conditionalFormatting>
  <conditionalFormatting sqref="D97">
    <cfRule type="cellIs" dxfId="194" priority="7" stopIfTrue="1" operator="between">
      <formula>0</formula>
      <formula>79.9</formula>
    </cfRule>
    <cfRule type="cellIs" dxfId="193" priority="8" stopIfTrue="1" operator="between">
      <formula>80</formula>
      <formula>97.9</formula>
    </cfRule>
    <cfRule type="cellIs" dxfId="192" priority="9" stopIfTrue="1" operator="between">
      <formula>98</formula>
      <formula>100</formula>
    </cfRule>
  </conditionalFormatting>
  <conditionalFormatting sqref="D107:D108">
    <cfRule type="cellIs" dxfId="191" priority="4" stopIfTrue="1" operator="between">
      <formula>0</formula>
      <formula>79.9</formula>
    </cfRule>
    <cfRule type="cellIs" dxfId="190" priority="5" stopIfTrue="1" operator="between">
      <formula>80</formula>
      <formula>97.9</formula>
    </cfRule>
    <cfRule type="cellIs" dxfId="189" priority="6" stopIfTrue="1" operator="between">
      <formula>98</formula>
      <formula>100</formula>
    </cfRule>
  </conditionalFormatting>
  <conditionalFormatting sqref="D123">
    <cfRule type="cellIs" dxfId="188" priority="1" stopIfTrue="1" operator="between">
      <formula>0</formula>
      <formula>79.9</formula>
    </cfRule>
    <cfRule type="cellIs" dxfId="187" priority="2" stopIfTrue="1" operator="between">
      <formula>80</formula>
      <formula>97.9</formula>
    </cfRule>
    <cfRule type="cellIs" dxfId="186" priority="3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ignoredErrors>
    <ignoredError sqref="K14" formula="1"/>
  </ignoredErrors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S105"/>
  <sheetViews>
    <sheetView topLeftCell="A61" workbookViewId="0">
      <selection activeCell="A70" sqref="A70:A77"/>
    </sheetView>
  </sheetViews>
  <sheetFormatPr baseColWidth="10" defaultColWidth="8.83203125" defaultRowHeight="14.25" customHeight="1"/>
  <cols>
    <col min="1" max="1" width="17.83203125" style="18" bestFit="1" customWidth="1"/>
    <col min="2" max="2" width="7" style="18" bestFit="1" customWidth="1"/>
    <col min="3" max="3" width="19" style="18" bestFit="1" customWidth="1"/>
    <col min="4" max="4" width="19" style="18" customWidth="1"/>
    <col min="5" max="5" width="17.5" style="18" customWidth="1"/>
    <col min="6" max="7" width="12.6640625" style="18" customWidth="1"/>
    <col min="8" max="8" width="15.5" style="18" customWidth="1"/>
    <col min="9" max="9" width="17.5" style="18" bestFit="1" customWidth="1"/>
    <col min="10" max="10" width="10.83203125" style="18" bestFit="1" customWidth="1"/>
    <col min="11" max="11" width="13.5" style="18" bestFit="1" customWidth="1"/>
    <col min="12" max="12" width="12" style="18" customWidth="1"/>
    <col min="13" max="13" width="9.33203125" style="18" bestFit="1" customWidth="1"/>
    <col min="14" max="14" width="7.6640625" style="18" bestFit="1" customWidth="1"/>
    <col min="15" max="15" width="14.1640625" style="18" customWidth="1"/>
    <col min="16" max="16" width="14.5" style="18" bestFit="1" customWidth="1"/>
    <col min="17" max="19" width="7.5" style="18" bestFit="1" customWidth="1"/>
    <col min="20" max="16384" width="8.83203125" style="26"/>
  </cols>
  <sheetData>
    <row r="1" spans="1:19" s="18" customFormat="1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2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2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11" t="s">
        <v>85</v>
      </c>
      <c r="R1" s="11" t="s">
        <v>86</v>
      </c>
      <c r="S1" s="11" t="s">
        <v>87</v>
      </c>
    </row>
    <row r="2" spans="1:19" s="18" customFormat="1" ht="14.25" customHeight="1">
      <c r="A2" s="270" t="s">
        <v>94</v>
      </c>
      <c r="B2" s="17" t="s">
        <v>89</v>
      </c>
      <c r="C2" s="20" t="s">
        <v>124</v>
      </c>
      <c r="D2" s="261"/>
      <c r="E2" s="262"/>
      <c r="F2" s="18">
        <v>2005</v>
      </c>
      <c r="G2" s="19" t="s">
        <v>90</v>
      </c>
      <c r="H2" s="18" t="s">
        <v>177</v>
      </c>
      <c r="I2" s="17" t="s">
        <v>91</v>
      </c>
      <c r="J2" s="18" t="s">
        <v>81</v>
      </c>
      <c r="K2" s="18">
        <v>1200</v>
      </c>
      <c r="L2" s="18">
        <v>1.2E-2</v>
      </c>
      <c r="M2" s="18" t="s">
        <v>80</v>
      </c>
      <c r="N2" s="18" t="s">
        <v>88</v>
      </c>
      <c r="O2" s="158">
        <v>100</v>
      </c>
      <c r="P2" s="42">
        <v>2.0000000000000052E-4</v>
      </c>
      <c r="Q2" s="4">
        <v>4.1000000000000003E-3</v>
      </c>
      <c r="R2" s="4">
        <v>5.1000000000000004E-3</v>
      </c>
      <c r="S2" s="4">
        <v>5.5999999999999999E-3</v>
      </c>
    </row>
    <row r="3" spans="1:19" ht="14.25" customHeight="1">
      <c r="A3" s="270" t="s">
        <v>94</v>
      </c>
      <c r="B3" s="17" t="s">
        <v>89</v>
      </c>
      <c r="C3" s="158" t="s">
        <v>100</v>
      </c>
      <c r="D3" s="109">
        <v>-50.439226072752582</v>
      </c>
      <c r="E3" s="109">
        <v>-21.205476000000004</v>
      </c>
      <c r="F3" s="18">
        <v>2005</v>
      </c>
      <c r="G3" s="19" t="s">
        <v>90</v>
      </c>
      <c r="H3" s="18" t="s">
        <v>177</v>
      </c>
      <c r="I3" s="17" t="s">
        <v>91</v>
      </c>
      <c r="J3" s="18" t="s">
        <v>81</v>
      </c>
      <c r="K3" s="158">
        <v>1800</v>
      </c>
      <c r="L3" s="18">
        <v>1.2E-2</v>
      </c>
      <c r="M3" s="18" t="s">
        <v>80</v>
      </c>
      <c r="N3" s="18" t="s">
        <v>88</v>
      </c>
      <c r="O3" s="10">
        <f>(78.5+65.5+52+84+99.5+99.5)/6</f>
        <v>79.833333333333329</v>
      </c>
      <c r="P3" s="42">
        <v>1.0000000000000009E-3</v>
      </c>
      <c r="Q3" s="4">
        <v>9.1999999999999998E-3</v>
      </c>
      <c r="R3" s="4">
        <v>1.6E-2</v>
      </c>
      <c r="S3" s="4">
        <v>0.02</v>
      </c>
    </row>
    <row r="4" spans="1:19" ht="14.25" customHeight="1">
      <c r="A4" s="270" t="s">
        <v>94</v>
      </c>
      <c r="B4" s="17" t="s">
        <v>89</v>
      </c>
      <c r="C4" s="158" t="s">
        <v>101</v>
      </c>
      <c r="D4" s="109">
        <v>-48.567377839455055</v>
      </c>
      <c r="E4" s="109">
        <v>-20.558455515000002</v>
      </c>
      <c r="F4" s="18">
        <v>2005</v>
      </c>
      <c r="G4" s="19" t="s">
        <v>90</v>
      </c>
      <c r="H4" s="18" t="s">
        <v>177</v>
      </c>
      <c r="I4" s="17" t="s">
        <v>91</v>
      </c>
      <c r="J4" s="18" t="s">
        <v>81</v>
      </c>
      <c r="K4" s="158">
        <v>1800</v>
      </c>
      <c r="L4" s="18">
        <v>1.2E-2</v>
      </c>
      <c r="M4" s="18" t="s">
        <v>80</v>
      </c>
      <c r="N4" s="18" t="s">
        <v>88</v>
      </c>
      <c r="O4" s="10">
        <f>(88.8+77+79+82.7+96.2+100)/6</f>
        <v>87.283333333333346</v>
      </c>
      <c r="P4" s="42">
        <v>9.2000000000000068E-4</v>
      </c>
      <c r="Q4" s="4">
        <v>7.0200000000000002E-3</v>
      </c>
      <c r="R4" s="4">
        <v>1.392E-2</v>
      </c>
      <c r="S4" s="4">
        <v>1.848E-2</v>
      </c>
    </row>
    <row r="5" spans="1:19" ht="14.25" customHeight="1">
      <c r="A5" s="270" t="s">
        <v>94</v>
      </c>
      <c r="B5" s="17" t="s">
        <v>89</v>
      </c>
      <c r="C5" s="158" t="s">
        <v>104</v>
      </c>
      <c r="D5" s="109">
        <v>-47.06015627297316</v>
      </c>
      <c r="E5" s="109">
        <v>-22.907342500000002</v>
      </c>
      <c r="F5" s="18">
        <v>2005</v>
      </c>
      <c r="G5" s="19" t="s">
        <v>90</v>
      </c>
      <c r="H5" s="18" t="s">
        <v>177</v>
      </c>
      <c r="I5" s="17" t="s">
        <v>91</v>
      </c>
      <c r="J5" s="18" t="s">
        <v>81</v>
      </c>
      <c r="K5" s="158">
        <v>1200</v>
      </c>
      <c r="L5" s="18">
        <v>1.2E-2</v>
      </c>
      <c r="M5" s="18" t="s">
        <v>80</v>
      </c>
      <c r="N5" s="18" t="s">
        <v>88</v>
      </c>
      <c r="O5" s="10">
        <f>(93.5+99.5+99.5+96.5)/4</f>
        <v>97.25</v>
      </c>
      <c r="P5" s="42">
        <v>1.0999999999999985E-3</v>
      </c>
      <c r="Q5" s="4">
        <v>5.7999999999999996E-3</v>
      </c>
      <c r="R5" s="4">
        <v>1.0999999999999999E-2</v>
      </c>
      <c r="S5" s="4">
        <v>1.4E-2</v>
      </c>
    </row>
    <row r="6" spans="1:19" ht="14.25" customHeight="1">
      <c r="A6" s="270" t="s">
        <v>94</v>
      </c>
      <c r="B6" s="17" t="s">
        <v>89</v>
      </c>
      <c r="C6" s="158" t="s">
        <v>125</v>
      </c>
      <c r="D6" s="109">
        <v>-47.299749835960981</v>
      </c>
      <c r="E6" s="109">
        <v>-23.265442500000002</v>
      </c>
      <c r="F6" s="18">
        <v>2005</v>
      </c>
      <c r="G6" s="19" t="s">
        <v>90</v>
      </c>
      <c r="H6" s="18" t="s">
        <v>177</v>
      </c>
      <c r="I6" s="17" t="s">
        <v>91</v>
      </c>
      <c r="J6" s="18" t="s">
        <v>81</v>
      </c>
      <c r="K6" s="158">
        <v>1200</v>
      </c>
      <c r="L6" s="18">
        <v>1.2E-2</v>
      </c>
      <c r="M6" s="18" t="s">
        <v>80</v>
      </c>
      <c r="N6" s="18" t="s">
        <v>88</v>
      </c>
      <c r="O6" s="10">
        <f>(95.5+97+93.5+99)/4</f>
        <v>96.25</v>
      </c>
      <c r="P6" s="42">
        <v>1.0000000000000009E-3</v>
      </c>
      <c r="Q6" s="4">
        <v>8.0999999999999996E-3</v>
      </c>
      <c r="R6" s="4">
        <v>1.7000000000000001E-2</v>
      </c>
      <c r="S6" s="4">
        <v>2.3E-2</v>
      </c>
    </row>
    <row r="7" spans="1:19" ht="14.25" customHeight="1">
      <c r="A7" s="270" t="s">
        <v>94</v>
      </c>
      <c r="B7" s="17" t="s">
        <v>89</v>
      </c>
      <c r="C7" s="158" t="s">
        <v>107</v>
      </c>
      <c r="D7" s="109">
        <v>-49.951645643103269</v>
      </c>
      <c r="E7" s="109">
        <v>-22.122743500000002</v>
      </c>
      <c r="F7" s="18">
        <v>2005</v>
      </c>
      <c r="G7" s="19" t="s">
        <v>90</v>
      </c>
      <c r="H7" s="18" t="s">
        <v>177</v>
      </c>
      <c r="I7" s="17" t="s">
        <v>91</v>
      </c>
      <c r="J7" s="18" t="s">
        <v>81</v>
      </c>
      <c r="K7" s="158">
        <v>1200</v>
      </c>
      <c r="L7" s="18">
        <v>1.2E-2</v>
      </c>
      <c r="M7" s="18" t="s">
        <v>80</v>
      </c>
      <c r="N7" s="18" t="s">
        <v>88</v>
      </c>
      <c r="O7" s="10">
        <f>(98.9+100+99+100)/4</f>
        <v>99.474999999999994</v>
      </c>
      <c r="P7" s="42">
        <v>5.9999999999999984E-4</v>
      </c>
      <c r="Q7" s="4">
        <v>4.8999999999999998E-3</v>
      </c>
      <c r="R7" s="4">
        <v>9.1999999999999998E-3</v>
      </c>
      <c r="S7" s="4">
        <v>1.2E-2</v>
      </c>
    </row>
    <row r="8" spans="1:19" ht="14.25" customHeight="1">
      <c r="A8" s="270" t="s">
        <v>94</v>
      </c>
      <c r="B8" s="17" t="s">
        <v>89</v>
      </c>
      <c r="C8" s="158" t="s">
        <v>126</v>
      </c>
      <c r="D8" s="109">
        <v>-48.562140427676248</v>
      </c>
      <c r="E8" s="109">
        <v>-21.778922883855454</v>
      </c>
      <c r="F8" s="18">
        <v>2005</v>
      </c>
      <c r="G8" s="19" t="s">
        <v>90</v>
      </c>
      <c r="H8" s="18" t="s">
        <v>177</v>
      </c>
      <c r="I8" s="17" t="s">
        <v>91</v>
      </c>
      <c r="J8" s="18" t="s">
        <v>81</v>
      </c>
      <c r="K8" s="158">
        <v>1200</v>
      </c>
      <c r="L8" s="18">
        <v>1.2E-2</v>
      </c>
      <c r="M8" s="18" t="s">
        <v>80</v>
      </c>
      <c r="N8" s="18" t="s">
        <v>88</v>
      </c>
      <c r="O8" s="10">
        <f>(92.6+100+100+99.4)/4</f>
        <v>98</v>
      </c>
      <c r="P8" s="42">
        <v>1.0000000000000009E-3</v>
      </c>
      <c r="Q8" s="4">
        <v>8.8999999999999999E-3</v>
      </c>
      <c r="R8" s="4">
        <v>1.6E-2</v>
      </c>
      <c r="S8" s="4">
        <v>0.02</v>
      </c>
    </row>
    <row r="9" spans="1:19" ht="14.25" customHeight="1">
      <c r="A9" s="270" t="s">
        <v>94</v>
      </c>
      <c r="B9" s="17" t="s">
        <v>89</v>
      </c>
      <c r="C9" s="158" t="s">
        <v>95</v>
      </c>
      <c r="D9" s="109">
        <v>-46.570383182112749</v>
      </c>
      <c r="E9" s="109">
        <v>-23.567386500000001</v>
      </c>
      <c r="F9" s="18">
        <v>2005</v>
      </c>
      <c r="G9" s="19" t="s">
        <v>90</v>
      </c>
      <c r="H9" s="18" t="s">
        <v>177</v>
      </c>
      <c r="I9" s="17" t="s">
        <v>91</v>
      </c>
      <c r="J9" s="18" t="s">
        <v>81</v>
      </c>
      <c r="K9" s="158">
        <v>1500</v>
      </c>
      <c r="L9" s="18">
        <v>1.2E-2</v>
      </c>
      <c r="M9" s="18" t="s">
        <v>80</v>
      </c>
      <c r="N9" s="18" t="s">
        <v>88</v>
      </c>
      <c r="O9" s="10">
        <f>(75+90+98.5+100+100)/5</f>
        <v>92.7</v>
      </c>
      <c r="P9" s="42">
        <v>1.0000000000000009E-3</v>
      </c>
      <c r="Q9" s="4">
        <v>7.7000000000000002E-3</v>
      </c>
      <c r="R9" s="4">
        <v>1.6E-2</v>
      </c>
      <c r="S9" s="4">
        <v>2.1000000000000001E-2</v>
      </c>
    </row>
    <row r="10" spans="1:19" ht="14.25" customHeight="1">
      <c r="A10" s="270" t="s">
        <v>94</v>
      </c>
      <c r="B10" s="17" t="s">
        <v>89</v>
      </c>
      <c r="C10" s="158" t="s">
        <v>109</v>
      </c>
      <c r="D10" s="109">
        <v>-47.805475915541528</v>
      </c>
      <c r="E10" s="109">
        <v>-21.184834500000004</v>
      </c>
      <c r="F10" s="18">
        <v>2005</v>
      </c>
      <c r="G10" s="19" t="s">
        <v>90</v>
      </c>
      <c r="H10" s="18" t="s">
        <v>177</v>
      </c>
      <c r="I10" s="17" t="s">
        <v>91</v>
      </c>
      <c r="J10" s="18" t="s">
        <v>81</v>
      </c>
      <c r="K10" s="158">
        <v>2100</v>
      </c>
      <c r="L10" s="18">
        <v>1.2E-2</v>
      </c>
      <c r="M10" s="18" t="s">
        <v>80</v>
      </c>
      <c r="N10" s="18" t="s">
        <v>88</v>
      </c>
      <c r="O10" s="10">
        <f>(47.5+47+74+65+98.5+93.5+98.5)/7</f>
        <v>74.857142857142861</v>
      </c>
      <c r="P10" s="42">
        <v>9.9999999999999742E-4</v>
      </c>
      <c r="Q10" s="4">
        <v>0.01</v>
      </c>
      <c r="R10" s="4">
        <v>1.7999999999999999E-2</v>
      </c>
      <c r="S10" s="4">
        <v>2.3E-2</v>
      </c>
    </row>
    <row r="11" spans="1:19" ht="14.25" customHeight="1">
      <c r="A11" s="270" t="s">
        <v>94</v>
      </c>
      <c r="B11" s="17" t="s">
        <v>89</v>
      </c>
      <c r="C11" s="158" t="s">
        <v>127</v>
      </c>
      <c r="D11" s="109">
        <v>-46.922092505649722</v>
      </c>
      <c r="E11" s="109">
        <v>-23.933737500000003</v>
      </c>
      <c r="F11" s="18">
        <v>2005</v>
      </c>
      <c r="G11" s="19" t="s">
        <v>90</v>
      </c>
      <c r="H11" s="18" t="s">
        <v>177</v>
      </c>
      <c r="I11" s="17" t="s">
        <v>91</v>
      </c>
      <c r="J11" s="18" t="s">
        <v>81</v>
      </c>
      <c r="K11" s="158">
        <v>1200</v>
      </c>
      <c r="L11" s="18">
        <v>1.2E-2</v>
      </c>
      <c r="M11" s="18" t="s">
        <v>80</v>
      </c>
      <c r="N11" s="18" t="s">
        <v>88</v>
      </c>
      <c r="O11" s="10">
        <f>(97.5+97.5+99+88.7)/4</f>
        <v>95.674999999999997</v>
      </c>
      <c r="P11" s="42">
        <v>0</v>
      </c>
      <c r="Q11" s="4">
        <v>8.6E-3</v>
      </c>
      <c r="R11" s="4">
        <v>1.4999999999999999E-2</v>
      </c>
      <c r="S11" s="4">
        <v>0.02</v>
      </c>
    </row>
    <row r="12" spans="1:19" ht="14.25" customHeight="1">
      <c r="A12" s="270" t="s">
        <v>94</v>
      </c>
      <c r="B12" s="17" t="s">
        <v>89</v>
      </c>
      <c r="C12" s="158" t="s">
        <v>110</v>
      </c>
      <c r="D12" s="109">
        <v>-46.331370849190684</v>
      </c>
      <c r="E12" s="109">
        <v>-23.933737500000003</v>
      </c>
      <c r="F12" s="18">
        <v>2005</v>
      </c>
      <c r="G12" s="19" t="s">
        <v>90</v>
      </c>
      <c r="H12" s="18" t="s">
        <v>177</v>
      </c>
      <c r="I12" s="17" t="s">
        <v>91</v>
      </c>
      <c r="J12" s="18" t="s">
        <v>81</v>
      </c>
      <c r="K12" s="158">
        <v>1500</v>
      </c>
      <c r="L12" s="18">
        <v>1.2E-2</v>
      </c>
      <c r="M12" s="18" t="s">
        <v>80</v>
      </c>
      <c r="N12" s="18" t="s">
        <v>88</v>
      </c>
      <c r="O12" s="10">
        <f>(34+15.5+78+74.5+88.6)/5</f>
        <v>58.120000000000005</v>
      </c>
      <c r="P12" s="42">
        <v>1.0000000000000002E-2</v>
      </c>
      <c r="Q12" s="4">
        <v>1.4E-2</v>
      </c>
      <c r="R12" s="4">
        <v>5.3999999999999999E-2</v>
      </c>
      <c r="S12" s="4">
        <v>9.6000000000000002E-2</v>
      </c>
    </row>
    <row r="13" spans="1:19" ht="14.25" customHeight="1">
      <c r="A13" s="270" t="s">
        <v>94</v>
      </c>
      <c r="B13" s="17" t="s">
        <v>89</v>
      </c>
      <c r="C13" s="158" t="s">
        <v>111</v>
      </c>
      <c r="D13" s="109">
        <v>-47.889237684691636</v>
      </c>
      <c r="E13" s="109">
        <v>-22.015998500000002</v>
      </c>
      <c r="F13" s="18">
        <v>2005</v>
      </c>
      <c r="G13" s="19" t="s">
        <v>90</v>
      </c>
      <c r="H13" s="18" t="s">
        <v>177</v>
      </c>
      <c r="I13" s="17" t="s">
        <v>91</v>
      </c>
      <c r="J13" s="18" t="s">
        <v>81</v>
      </c>
      <c r="K13" s="158">
        <v>1800</v>
      </c>
      <c r="L13" s="18">
        <v>1.2E-2</v>
      </c>
      <c r="M13" s="18" t="s">
        <v>80</v>
      </c>
      <c r="N13" s="18" t="s">
        <v>88</v>
      </c>
      <c r="O13" s="10">
        <f>(71.5+70.6+87.8+94+100+100)/6</f>
        <v>87.316666666666663</v>
      </c>
      <c r="P13" s="42">
        <v>9.3999999999999986E-4</v>
      </c>
      <c r="Q13" s="4">
        <v>6.5700000000000003E-3</v>
      </c>
      <c r="R13" s="4">
        <v>1.294E-2</v>
      </c>
      <c r="S13" s="4">
        <v>1.7129999999999999E-2</v>
      </c>
    </row>
    <row r="14" spans="1:19" ht="14.25" customHeight="1">
      <c r="A14" s="270" t="s">
        <v>94</v>
      </c>
      <c r="B14" s="17" t="s">
        <v>89</v>
      </c>
      <c r="C14" s="158" t="s">
        <v>112</v>
      </c>
      <c r="D14" s="109">
        <v>-49.381347685025794</v>
      </c>
      <c r="E14" s="109">
        <v>-20.812636500000004</v>
      </c>
      <c r="F14" s="18">
        <v>2005</v>
      </c>
      <c r="G14" s="19" t="s">
        <v>90</v>
      </c>
      <c r="H14" s="18" t="s">
        <v>177</v>
      </c>
      <c r="I14" s="17" t="s">
        <v>91</v>
      </c>
      <c r="J14" s="18" t="s">
        <v>81</v>
      </c>
      <c r="K14" s="158">
        <v>1200</v>
      </c>
      <c r="L14" s="18">
        <v>1.2E-2</v>
      </c>
      <c r="M14" s="18" t="s">
        <v>80</v>
      </c>
      <c r="N14" s="18" t="s">
        <v>88</v>
      </c>
      <c r="O14" s="10">
        <f>(82.5+82+86.3+77.5)/4</f>
        <v>82.075000000000003</v>
      </c>
      <c r="P14" s="42">
        <v>1.5599999999999989E-3</v>
      </c>
      <c r="Q14" s="4">
        <v>8.9899999999999997E-3</v>
      </c>
      <c r="R14" s="4">
        <v>1.5559999999999999E-2</v>
      </c>
      <c r="S14" s="4">
        <v>1.9529999999999999E-2</v>
      </c>
    </row>
    <row r="15" spans="1:19" ht="14.25" customHeight="1">
      <c r="A15" s="270" t="s">
        <v>94</v>
      </c>
      <c r="B15" s="17" t="s">
        <v>89</v>
      </c>
      <c r="C15" s="158" t="s">
        <v>113</v>
      </c>
      <c r="D15" s="109">
        <v>-45.402680140543957</v>
      </c>
      <c r="E15" s="109">
        <v>-23.806687652148753</v>
      </c>
      <c r="F15" s="18">
        <v>2005</v>
      </c>
      <c r="G15" s="19" t="s">
        <v>90</v>
      </c>
      <c r="H15" s="18" t="s">
        <v>177</v>
      </c>
      <c r="I15" s="17" t="s">
        <v>91</v>
      </c>
      <c r="J15" s="18" t="s">
        <v>81</v>
      </c>
      <c r="K15" s="158">
        <v>2100</v>
      </c>
      <c r="L15" s="18">
        <v>1.2E-2</v>
      </c>
      <c r="M15" s="18" t="s">
        <v>80</v>
      </c>
      <c r="N15" s="18" t="s">
        <v>88</v>
      </c>
      <c r="O15" s="10">
        <f>(84.5+86.2+71+83.5+91.4+96.6+84)/7</f>
        <v>85.314285714285717</v>
      </c>
      <c r="P15" s="42">
        <v>1.0600000000000002E-3</v>
      </c>
      <c r="Q15" s="4">
        <v>1.0019999999999999E-2</v>
      </c>
      <c r="R15" s="4">
        <v>1.406E-2</v>
      </c>
      <c r="S15" s="4">
        <v>1.618E-2</v>
      </c>
    </row>
    <row r="16" spans="1:19" ht="14.25" customHeight="1">
      <c r="A16" s="270" t="s">
        <v>94</v>
      </c>
      <c r="B16" s="17" t="s">
        <v>89</v>
      </c>
      <c r="C16" s="158" t="s">
        <v>114</v>
      </c>
      <c r="D16" s="109">
        <v>-47.457853253204043</v>
      </c>
      <c r="E16" s="109">
        <v>-23.499323</v>
      </c>
      <c r="F16" s="18">
        <v>2005</v>
      </c>
      <c r="G16" s="19" t="s">
        <v>90</v>
      </c>
      <c r="H16" s="18" t="s">
        <v>177</v>
      </c>
      <c r="I16" s="17" t="s">
        <v>91</v>
      </c>
      <c r="J16" s="18" t="s">
        <v>81</v>
      </c>
      <c r="K16" s="158">
        <v>1200</v>
      </c>
      <c r="L16" s="18">
        <v>1.2E-2</v>
      </c>
      <c r="M16" s="18" t="s">
        <v>80</v>
      </c>
      <c r="N16" s="18" t="s">
        <v>88</v>
      </c>
      <c r="O16" s="10">
        <f>(94.5+98.4+100+99.5)/4</f>
        <v>98.1</v>
      </c>
      <c r="P16" s="42">
        <v>1.0000000000000009E-3</v>
      </c>
      <c r="Q16" s="4">
        <v>9.7999999999999997E-3</v>
      </c>
      <c r="R16" s="4">
        <v>1.7000000000000001E-2</v>
      </c>
      <c r="S16" s="4">
        <v>2.1999999999999999E-2</v>
      </c>
    </row>
    <row r="17" spans="1:19" ht="14.25" customHeight="1">
      <c r="A17" s="270" t="s">
        <v>94</v>
      </c>
      <c r="B17" s="17" t="s">
        <v>89</v>
      </c>
      <c r="C17" s="17" t="s">
        <v>128</v>
      </c>
      <c r="D17" s="109">
        <v>-52.462401669956037</v>
      </c>
      <c r="E17" s="109">
        <v>-23.081879475000008</v>
      </c>
      <c r="F17" s="18">
        <v>2005</v>
      </c>
      <c r="G17" s="19" t="s">
        <v>90</v>
      </c>
      <c r="H17" s="18" t="s">
        <v>177</v>
      </c>
      <c r="I17" s="17" t="s">
        <v>91</v>
      </c>
      <c r="J17" s="18" t="s">
        <v>81</v>
      </c>
      <c r="K17" s="158">
        <v>900</v>
      </c>
      <c r="L17" s="18">
        <v>1.2E-2</v>
      </c>
      <c r="M17" s="18" t="s">
        <v>80</v>
      </c>
      <c r="N17" s="18" t="s">
        <v>88</v>
      </c>
      <c r="O17" s="10">
        <f>(100+98.5+98.9)/3</f>
        <v>99.133333333333326</v>
      </c>
      <c r="P17" s="42">
        <v>2.0000000000000052E-4</v>
      </c>
      <c r="Q17" s="4">
        <v>6.4999999999999997E-3</v>
      </c>
      <c r="R17" s="4">
        <v>0.01</v>
      </c>
      <c r="S17" s="4">
        <v>1.2999999999999999E-2</v>
      </c>
    </row>
    <row r="18" spans="1:19" ht="14.25" customHeight="1" thickBot="1">
      <c r="A18" s="11" t="s">
        <v>94</v>
      </c>
      <c r="B18" s="21" t="s">
        <v>89</v>
      </c>
      <c r="C18" s="21" t="s">
        <v>129</v>
      </c>
      <c r="D18" s="110">
        <v>-58.117939347991616</v>
      </c>
      <c r="E18" s="110">
        <v>-15.235682810143553</v>
      </c>
      <c r="F18" s="21">
        <v>2005</v>
      </c>
      <c r="G18" s="22" t="s">
        <v>90</v>
      </c>
      <c r="H18" s="21" t="s">
        <v>177</v>
      </c>
      <c r="I18" s="21" t="s">
        <v>91</v>
      </c>
      <c r="J18" s="21" t="s">
        <v>81</v>
      </c>
      <c r="K18" s="11">
        <v>1500</v>
      </c>
      <c r="L18" s="21">
        <v>1.2E-2</v>
      </c>
      <c r="M18" s="21" t="s">
        <v>80</v>
      </c>
      <c r="N18" s="21" t="s">
        <v>88</v>
      </c>
      <c r="O18" s="30">
        <f>(81+54+60.5+44.4+49.4)/5</f>
        <v>57.86</v>
      </c>
      <c r="P18" s="44">
        <v>2.0000000000000018E-3</v>
      </c>
      <c r="Q18" s="29">
        <v>1.2E-2</v>
      </c>
      <c r="R18" s="29">
        <v>2.5000000000000001E-2</v>
      </c>
      <c r="S18" s="29">
        <v>3.5000000000000003E-2</v>
      </c>
    </row>
    <row r="19" spans="1:19" ht="14.25" customHeight="1">
      <c r="A19" s="270" t="s">
        <v>94</v>
      </c>
      <c r="B19" s="17" t="s">
        <v>89</v>
      </c>
      <c r="C19" s="20" t="s">
        <v>124</v>
      </c>
      <c r="D19" s="261"/>
      <c r="E19" s="262"/>
      <c r="F19" s="18">
        <v>2005</v>
      </c>
      <c r="G19" s="19" t="s">
        <v>90</v>
      </c>
      <c r="H19" s="18" t="s">
        <v>177</v>
      </c>
      <c r="I19" s="17" t="s">
        <v>91</v>
      </c>
      <c r="J19" s="158" t="s">
        <v>92</v>
      </c>
      <c r="K19" s="18">
        <v>1200</v>
      </c>
      <c r="L19" s="158">
        <v>0.01</v>
      </c>
      <c r="M19" s="18" t="s">
        <v>80</v>
      </c>
      <c r="N19" s="18" t="s">
        <v>88</v>
      </c>
      <c r="O19" s="51">
        <v>100</v>
      </c>
      <c r="P19" s="105">
        <v>9.9999999999999829E-5</v>
      </c>
      <c r="Q19" s="4">
        <v>2.8E-3</v>
      </c>
      <c r="R19" s="4">
        <v>3.8999999999999998E-3</v>
      </c>
      <c r="S19" s="4">
        <v>4.4999999999999997E-3</v>
      </c>
    </row>
    <row r="20" spans="1:19" ht="14.25" customHeight="1">
      <c r="A20" s="270" t="s">
        <v>94</v>
      </c>
      <c r="B20" s="17" t="s">
        <v>89</v>
      </c>
      <c r="C20" s="158" t="s">
        <v>100</v>
      </c>
      <c r="D20" s="109">
        <v>-50.439226072752582</v>
      </c>
      <c r="E20" s="109">
        <v>-21.205476000000004</v>
      </c>
      <c r="F20" s="18">
        <v>2005</v>
      </c>
      <c r="G20" s="19" t="s">
        <v>90</v>
      </c>
      <c r="H20" s="18" t="s">
        <v>177</v>
      </c>
      <c r="I20" s="17" t="s">
        <v>91</v>
      </c>
      <c r="J20" s="158" t="s">
        <v>92</v>
      </c>
      <c r="K20" s="158">
        <v>1500</v>
      </c>
      <c r="L20" s="158">
        <v>0.01</v>
      </c>
      <c r="M20" s="18" t="s">
        <v>80</v>
      </c>
      <c r="N20" s="17" t="s">
        <v>88</v>
      </c>
      <c r="O20" s="24">
        <v>86.9</v>
      </c>
      <c r="P20" s="105">
        <v>8.0000000000000036E-4</v>
      </c>
      <c r="Q20" s="4">
        <v>5.3E-3</v>
      </c>
      <c r="R20" s="4">
        <v>0.01</v>
      </c>
      <c r="S20" s="4">
        <v>1.4E-2</v>
      </c>
    </row>
    <row r="21" spans="1:19" ht="14.25" customHeight="1">
      <c r="A21" s="270" t="s">
        <v>94</v>
      </c>
      <c r="B21" s="17" t="s">
        <v>89</v>
      </c>
      <c r="C21" s="158" t="s">
        <v>101</v>
      </c>
      <c r="D21" s="109">
        <v>-48.567377839455055</v>
      </c>
      <c r="E21" s="109">
        <v>-20.558455515000002</v>
      </c>
      <c r="F21" s="18">
        <v>2005</v>
      </c>
      <c r="G21" s="19" t="s">
        <v>90</v>
      </c>
      <c r="H21" s="18" t="s">
        <v>177</v>
      </c>
      <c r="I21" s="17" t="s">
        <v>91</v>
      </c>
      <c r="J21" s="158" t="s">
        <v>92</v>
      </c>
      <c r="K21" s="158">
        <v>2400</v>
      </c>
      <c r="L21" s="158">
        <v>0.01</v>
      </c>
      <c r="M21" s="18" t="s">
        <v>80</v>
      </c>
      <c r="N21" s="17" t="s">
        <v>88</v>
      </c>
      <c r="O21" s="24">
        <v>80.650000000000006</v>
      </c>
      <c r="P21" s="105">
        <v>6.3999999999999994E-4</v>
      </c>
      <c r="Q21" s="4">
        <v>5.6899999999999997E-3</v>
      </c>
      <c r="R21" s="4">
        <v>1.014E-2</v>
      </c>
      <c r="S21" s="4">
        <v>1.2880000000000001E-2</v>
      </c>
    </row>
    <row r="22" spans="1:19" ht="14.25" customHeight="1">
      <c r="A22" s="270" t="s">
        <v>94</v>
      </c>
      <c r="B22" s="17" t="s">
        <v>89</v>
      </c>
      <c r="C22" s="158" t="s">
        <v>104</v>
      </c>
      <c r="D22" s="109">
        <v>-47.06015627297316</v>
      </c>
      <c r="E22" s="109">
        <v>-22.907342500000002</v>
      </c>
      <c r="F22" s="18">
        <v>2005</v>
      </c>
      <c r="G22" s="19" t="s">
        <v>90</v>
      </c>
      <c r="H22" s="18" t="s">
        <v>177</v>
      </c>
      <c r="I22" s="17" t="s">
        <v>91</v>
      </c>
      <c r="J22" s="158" t="s">
        <v>92</v>
      </c>
      <c r="K22" s="158">
        <v>1500</v>
      </c>
      <c r="L22" s="158">
        <v>0.01</v>
      </c>
      <c r="M22" s="18" t="s">
        <v>80</v>
      </c>
      <c r="N22" s="17" t="s">
        <v>88</v>
      </c>
      <c r="O22" s="24">
        <v>96.679999999999993</v>
      </c>
      <c r="P22" s="105">
        <v>4.0000000000000018E-4</v>
      </c>
      <c r="Q22" s="4">
        <v>4.1999999999999997E-3</v>
      </c>
      <c r="R22" s="4">
        <v>7.0000000000000001E-3</v>
      </c>
      <c r="S22" s="4">
        <v>8.6E-3</v>
      </c>
    </row>
    <row r="23" spans="1:19" ht="14.25" customHeight="1">
      <c r="A23" s="270" t="s">
        <v>94</v>
      </c>
      <c r="B23" s="17" t="s">
        <v>89</v>
      </c>
      <c r="C23" s="158" t="s">
        <v>125</v>
      </c>
      <c r="D23" s="109">
        <v>-47.299749835960981</v>
      </c>
      <c r="E23" s="109">
        <v>-23.265442500000002</v>
      </c>
      <c r="F23" s="18">
        <v>2005</v>
      </c>
      <c r="G23" s="19" t="s">
        <v>90</v>
      </c>
      <c r="H23" s="18" t="s">
        <v>177</v>
      </c>
      <c r="I23" s="17" t="s">
        <v>91</v>
      </c>
      <c r="J23" s="158" t="s">
        <v>92</v>
      </c>
      <c r="K23" s="158">
        <v>1500</v>
      </c>
      <c r="L23" s="158">
        <v>0.01</v>
      </c>
      <c r="M23" s="18" t="s">
        <v>80</v>
      </c>
      <c r="N23" s="17" t="s">
        <v>88</v>
      </c>
      <c r="O23" s="24">
        <v>94.6</v>
      </c>
      <c r="P23" s="105">
        <v>4.9999999999999958E-4</v>
      </c>
      <c r="Q23" s="4">
        <v>4.7600000000000003E-3</v>
      </c>
      <c r="R23" s="4">
        <v>8.0999999999999996E-3</v>
      </c>
      <c r="S23" s="4">
        <v>1.014E-2</v>
      </c>
    </row>
    <row r="24" spans="1:19" ht="14.25" customHeight="1">
      <c r="A24" s="270" t="s">
        <v>94</v>
      </c>
      <c r="B24" s="17" t="s">
        <v>89</v>
      </c>
      <c r="C24" s="158" t="s">
        <v>107</v>
      </c>
      <c r="D24" s="109">
        <v>-49.951645643103269</v>
      </c>
      <c r="E24" s="109">
        <v>-22.122743500000002</v>
      </c>
      <c r="F24" s="18">
        <v>2005</v>
      </c>
      <c r="G24" s="19" t="s">
        <v>90</v>
      </c>
      <c r="H24" s="17" t="s">
        <v>177</v>
      </c>
      <c r="I24" s="17" t="s">
        <v>91</v>
      </c>
      <c r="J24" s="158" t="s">
        <v>92</v>
      </c>
      <c r="K24" s="158">
        <v>1500</v>
      </c>
      <c r="L24" s="158">
        <v>0.01</v>
      </c>
      <c r="M24" s="18" t="s">
        <v>80</v>
      </c>
      <c r="N24" s="17" t="s">
        <v>88</v>
      </c>
      <c r="O24" s="24">
        <v>95.66</v>
      </c>
      <c r="P24" s="105">
        <v>8.0000000000000036E-4</v>
      </c>
      <c r="Q24" s="4">
        <v>3.3999999999999998E-3</v>
      </c>
      <c r="R24" s="4">
        <v>7.6E-3</v>
      </c>
      <c r="S24" s="4">
        <v>1.0999999999999999E-2</v>
      </c>
    </row>
    <row r="25" spans="1:19" ht="14.25" customHeight="1">
      <c r="A25" s="270" t="s">
        <v>94</v>
      </c>
      <c r="B25" s="17" t="s">
        <v>89</v>
      </c>
      <c r="C25" s="158" t="s">
        <v>126</v>
      </c>
      <c r="D25" s="109">
        <v>-48.562140427676248</v>
      </c>
      <c r="E25" s="109">
        <v>-21.778922883855454</v>
      </c>
      <c r="F25" s="18">
        <v>2005</v>
      </c>
      <c r="G25" s="19" t="s">
        <v>90</v>
      </c>
      <c r="H25" s="18" t="s">
        <v>177</v>
      </c>
      <c r="I25" s="17" t="s">
        <v>91</v>
      </c>
      <c r="J25" s="158" t="s">
        <v>92</v>
      </c>
      <c r="K25" s="158">
        <v>900</v>
      </c>
      <c r="L25" s="158">
        <v>0.01</v>
      </c>
      <c r="M25" s="18" t="s">
        <v>80</v>
      </c>
      <c r="N25" s="17" t="s">
        <v>88</v>
      </c>
      <c r="O25" s="24">
        <v>98.266666666666666</v>
      </c>
      <c r="P25" s="105">
        <v>5.9999999999999984E-4</v>
      </c>
      <c r="Q25" s="4">
        <v>4.4000000000000003E-3</v>
      </c>
      <c r="R25" s="4">
        <v>8.0000000000000002E-3</v>
      </c>
      <c r="S25" s="4">
        <v>0.01</v>
      </c>
    </row>
    <row r="26" spans="1:19" ht="14.25" customHeight="1">
      <c r="A26" s="270" t="s">
        <v>94</v>
      </c>
      <c r="B26" s="17" t="s">
        <v>89</v>
      </c>
      <c r="C26" s="158" t="s">
        <v>95</v>
      </c>
      <c r="D26" s="109">
        <v>-46.570383182112749</v>
      </c>
      <c r="E26" s="109">
        <v>-23.567386500000001</v>
      </c>
      <c r="F26" s="18">
        <v>2005</v>
      </c>
      <c r="G26" s="19" t="s">
        <v>90</v>
      </c>
      <c r="H26" s="18" t="s">
        <v>177</v>
      </c>
      <c r="I26" s="17" t="s">
        <v>91</v>
      </c>
      <c r="J26" s="158" t="s">
        <v>92</v>
      </c>
      <c r="K26" s="158">
        <v>1500</v>
      </c>
      <c r="L26" s="158">
        <v>0.01</v>
      </c>
      <c r="M26" s="18" t="s">
        <v>80</v>
      </c>
      <c r="N26" s="17" t="s">
        <v>88</v>
      </c>
      <c r="O26" s="24">
        <v>96.2</v>
      </c>
      <c r="P26" s="105">
        <v>5.9999999999999984E-4</v>
      </c>
      <c r="Q26" s="4">
        <v>4.7999999999999996E-3</v>
      </c>
      <c r="R26" s="4">
        <v>9.2999999999999992E-3</v>
      </c>
      <c r="S26" s="4">
        <v>1.2E-2</v>
      </c>
    </row>
    <row r="27" spans="1:19" ht="14.25" customHeight="1">
      <c r="A27" s="270" t="s">
        <v>94</v>
      </c>
      <c r="B27" s="17" t="s">
        <v>89</v>
      </c>
      <c r="C27" s="158" t="s">
        <v>109</v>
      </c>
      <c r="D27" s="109">
        <v>-47.805475915541528</v>
      </c>
      <c r="E27" s="109">
        <v>-21.184834500000004</v>
      </c>
      <c r="F27" s="18">
        <v>2005</v>
      </c>
      <c r="G27" s="19" t="s">
        <v>90</v>
      </c>
      <c r="H27" s="18" t="s">
        <v>177</v>
      </c>
      <c r="I27" s="17" t="s">
        <v>91</v>
      </c>
      <c r="J27" s="158" t="s">
        <v>92</v>
      </c>
      <c r="K27" s="158">
        <v>1500</v>
      </c>
      <c r="L27" s="158">
        <v>0.01</v>
      </c>
      <c r="M27" s="18" t="s">
        <v>80</v>
      </c>
      <c r="N27" s="17" t="s">
        <v>88</v>
      </c>
      <c r="O27" s="24">
        <v>92.26</v>
      </c>
      <c r="P27" s="105">
        <v>5.0000000000000044E-4</v>
      </c>
      <c r="Q27" s="4">
        <v>5.4999999999999997E-3</v>
      </c>
      <c r="R27" s="4">
        <v>9.7000000000000003E-3</v>
      </c>
      <c r="S27" s="4">
        <v>1.2E-2</v>
      </c>
    </row>
    <row r="28" spans="1:19" ht="14.25" customHeight="1">
      <c r="A28" s="270" t="s">
        <v>94</v>
      </c>
      <c r="B28" s="17" t="s">
        <v>89</v>
      </c>
      <c r="C28" s="158" t="s">
        <v>127</v>
      </c>
      <c r="D28" s="109">
        <v>-46.922092505649722</v>
      </c>
      <c r="E28" s="109">
        <v>-23.933737500000003</v>
      </c>
      <c r="F28" s="18">
        <v>2005</v>
      </c>
      <c r="G28" s="19" t="s">
        <v>90</v>
      </c>
      <c r="H28" s="18" t="s">
        <v>177</v>
      </c>
      <c r="I28" s="17" t="s">
        <v>91</v>
      </c>
      <c r="J28" s="158" t="s">
        <v>92</v>
      </c>
      <c r="K28" s="158">
        <v>1500</v>
      </c>
      <c r="L28" s="158">
        <v>0.01</v>
      </c>
      <c r="M28" s="18" t="s">
        <v>80</v>
      </c>
      <c r="N28" s="17" t="s">
        <v>88</v>
      </c>
      <c r="O28" s="24">
        <v>97.8</v>
      </c>
      <c r="P28" s="105">
        <v>8.0000000000000036E-4</v>
      </c>
      <c r="Q28" s="4">
        <v>4.5999999999999999E-3</v>
      </c>
      <c r="R28" s="4">
        <v>9.1999999999999998E-3</v>
      </c>
      <c r="S28" s="4">
        <v>1.2E-2</v>
      </c>
    </row>
    <row r="29" spans="1:19" ht="14.25" customHeight="1">
      <c r="A29" s="270" t="s">
        <v>94</v>
      </c>
      <c r="B29" s="17" t="s">
        <v>89</v>
      </c>
      <c r="C29" s="158" t="s">
        <v>110</v>
      </c>
      <c r="D29" s="109">
        <v>-46.331370849190684</v>
      </c>
      <c r="E29" s="109">
        <v>-23.933737500000003</v>
      </c>
      <c r="F29" s="18">
        <v>2005</v>
      </c>
      <c r="G29" s="19" t="s">
        <v>90</v>
      </c>
      <c r="H29" s="18" t="s">
        <v>177</v>
      </c>
      <c r="I29" s="17" t="s">
        <v>91</v>
      </c>
      <c r="J29" s="158" t="s">
        <v>92</v>
      </c>
      <c r="K29" s="158">
        <v>1500</v>
      </c>
      <c r="L29" s="158">
        <v>0.01</v>
      </c>
      <c r="M29" s="18" t="s">
        <v>80</v>
      </c>
      <c r="N29" s="17" t="s">
        <v>88</v>
      </c>
      <c r="O29" s="24">
        <v>83.4</v>
      </c>
      <c r="P29" s="105">
        <v>1.0000000000000009E-3</v>
      </c>
      <c r="Q29" s="4">
        <v>6.6E-3</v>
      </c>
      <c r="R29" s="4">
        <v>1.2E-2</v>
      </c>
      <c r="S29" s="4">
        <v>1.4999999999999999E-2</v>
      </c>
    </row>
    <row r="30" spans="1:19" ht="14.25" customHeight="1">
      <c r="A30" s="270" t="s">
        <v>94</v>
      </c>
      <c r="B30" s="17" t="s">
        <v>89</v>
      </c>
      <c r="C30" s="158" t="s">
        <v>111</v>
      </c>
      <c r="D30" s="109">
        <v>-47.889237684691636</v>
      </c>
      <c r="E30" s="109">
        <v>-22.015998500000002</v>
      </c>
      <c r="F30" s="18">
        <v>2005</v>
      </c>
      <c r="G30" s="19" t="s">
        <v>90</v>
      </c>
      <c r="H30" s="18" t="s">
        <v>177</v>
      </c>
      <c r="I30" s="17" t="s">
        <v>91</v>
      </c>
      <c r="J30" s="158" t="s">
        <v>92</v>
      </c>
      <c r="K30" s="158">
        <v>1500</v>
      </c>
      <c r="L30" s="158">
        <v>0.01</v>
      </c>
      <c r="M30" s="18" t="s">
        <v>80</v>
      </c>
      <c r="N30" s="17" t="s">
        <v>88</v>
      </c>
      <c r="O30" s="24">
        <v>94.84</v>
      </c>
      <c r="P30" s="105">
        <v>4.0000000000000105E-4</v>
      </c>
      <c r="Q30" s="4">
        <v>5.0000000000000001E-3</v>
      </c>
      <c r="R30" s="4">
        <v>8.5000000000000006E-3</v>
      </c>
      <c r="S30" s="4">
        <v>1.0999999999999999E-2</v>
      </c>
    </row>
    <row r="31" spans="1:19" ht="14.25" customHeight="1">
      <c r="A31" s="270" t="s">
        <v>94</v>
      </c>
      <c r="B31" s="17" t="s">
        <v>89</v>
      </c>
      <c r="C31" s="158" t="s">
        <v>112</v>
      </c>
      <c r="D31" s="109">
        <v>-49.381347685025794</v>
      </c>
      <c r="E31" s="109">
        <v>-20.812636500000004</v>
      </c>
      <c r="F31" s="18">
        <v>2005</v>
      </c>
      <c r="G31" s="19" t="s">
        <v>90</v>
      </c>
      <c r="H31" s="18" t="s">
        <v>177</v>
      </c>
      <c r="I31" s="17" t="s">
        <v>91</v>
      </c>
      <c r="J31" s="158" t="s">
        <v>92</v>
      </c>
      <c r="K31" s="158">
        <v>1500</v>
      </c>
      <c r="L31" s="158">
        <v>0.01</v>
      </c>
      <c r="M31" s="18" t="s">
        <v>80</v>
      </c>
      <c r="N31" s="17" t="s">
        <v>88</v>
      </c>
      <c r="O31" s="24">
        <v>88</v>
      </c>
      <c r="P31" s="105">
        <v>6.0000000000000157E-4</v>
      </c>
      <c r="Q31" s="4">
        <v>6.1999999999999998E-3</v>
      </c>
      <c r="R31" s="4">
        <v>9.9000000000000008E-3</v>
      </c>
      <c r="S31" s="4">
        <v>1.2E-2</v>
      </c>
    </row>
    <row r="32" spans="1:19" ht="14.25" customHeight="1">
      <c r="A32" s="270" t="s">
        <v>94</v>
      </c>
      <c r="B32" s="17" t="s">
        <v>89</v>
      </c>
      <c r="C32" s="158" t="s">
        <v>113</v>
      </c>
      <c r="D32" s="109">
        <v>-45.402680140543957</v>
      </c>
      <c r="E32" s="109">
        <v>-23.806687652148753</v>
      </c>
      <c r="F32" s="18">
        <v>2005</v>
      </c>
      <c r="G32" s="19" t="s">
        <v>90</v>
      </c>
      <c r="H32" s="18" t="s">
        <v>177</v>
      </c>
      <c r="I32" s="17" t="s">
        <v>91</v>
      </c>
      <c r="J32" s="158" t="s">
        <v>92</v>
      </c>
      <c r="K32" s="158">
        <v>1200</v>
      </c>
      <c r="L32" s="158">
        <v>0.01</v>
      </c>
      <c r="M32" s="18" t="s">
        <v>80</v>
      </c>
      <c r="N32" s="17" t="s">
        <v>88</v>
      </c>
      <c r="O32" s="24">
        <v>94.5</v>
      </c>
      <c r="P32" s="105">
        <v>2.9999999999999992E-4</v>
      </c>
      <c r="Q32" s="4">
        <v>5.7000000000000002E-3</v>
      </c>
      <c r="R32" s="4">
        <v>8.5000000000000006E-3</v>
      </c>
      <c r="S32" s="4">
        <v>0.01</v>
      </c>
    </row>
    <row r="33" spans="1:19" ht="14.25" customHeight="1">
      <c r="A33" s="270" t="s">
        <v>94</v>
      </c>
      <c r="B33" s="17" t="s">
        <v>89</v>
      </c>
      <c r="C33" s="158" t="s">
        <v>114</v>
      </c>
      <c r="D33" s="109">
        <v>-47.457853253204043</v>
      </c>
      <c r="E33" s="109">
        <v>-23.499323</v>
      </c>
      <c r="F33" s="18">
        <v>2005</v>
      </c>
      <c r="G33" s="19" t="s">
        <v>90</v>
      </c>
      <c r="H33" s="18" t="s">
        <v>177</v>
      </c>
      <c r="I33" s="17" t="s">
        <v>91</v>
      </c>
      <c r="J33" s="158" t="s">
        <v>92</v>
      </c>
      <c r="K33" s="158">
        <v>1200</v>
      </c>
      <c r="L33" s="158">
        <v>0.01</v>
      </c>
      <c r="M33" s="18" t="s">
        <v>80</v>
      </c>
      <c r="N33" s="17" t="s">
        <v>88</v>
      </c>
      <c r="O33" s="24">
        <v>95.45</v>
      </c>
      <c r="P33" s="105">
        <v>5.0000000000000044E-4</v>
      </c>
      <c r="Q33" s="4">
        <v>4.7999999999999996E-3</v>
      </c>
      <c r="R33" s="4">
        <v>8.6E-3</v>
      </c>
      <c r="S33" s="4">
        <v>1.0999999999999999E-2</v>
      </c>
    </row>
    <row r="34" spans="1:19" ht="14.25" customHeight="1">
      <c r="A34" s="270" t="s">
        <v>94</v>
      </c>
      <c r="B34" s="17" t="s">
        <v>89</v>
      </c>
      <c r="C34" s="17" t="s">
        <v>128</v>
      </c>
      <c r="D34" s="109">
        <v>-52.462401669956037</v>
      </c>
      <c r="E34" s="109">
        <v>-23.081879475000008</v>
      </c>
      <c r="F34" s="18">
        <v>2005</v>
      </c>
      <c r="G34" s="19" t="s">
        <v>90</v>
      </c>
      <c r="H34" s="18" t="s">
        <v>177</v>
      </c>
      <c r="I34" s="17" t="s">
        <v>91</v>
      </c>
      <c r="J34" s="158" t="s">
        <v>92</v>
      </c>
      <c r="K34" s="158">
        <v>1500</v>
      </c>
      <c r="L34" s="158">
        <v>0.01</v>
      </c>
      <c r="M34" s="18" t="s">
        <v>80</v>
      </c>
      <c r="N34" s="17" t="s">
        <v>88</v>
      </c>
      <c r="O34" s="10">
        <v>95.16</v>
      </c>
      <c r="P34" s="105">
        <v>5.9999999999999984E-4</v>
      </c>
      <c r="Q34" s="4">
        <v>5.3E-3</v>
      </c>
      <c r="R34" s="4">
        <v>9.1000000000000004E-3</v>
      </c>
      <c r="S34" s="4">
        <v>1.0999999999999999E-2</v>
      </c>
    </row>
    <row r="35" spans="1:19" ht="14.25" customHeight="1" thickBot="1">
      <c r="A35" s="11" t="s">
        <v>94</v>
      </c>
      <c r="B35" s="21" t="s">
        <v>89</v>
      </c>
      <c r="C35" s="21" t="s">
        <v>129</v>
      </c>
      <c r="D35" s="110">
        <v>-58.117939347991616</v>
      </c>
      <c r="E35" s="110">
        <v>-15.235682810143553</v>
      </c>
      <c r="F35" s="21">
        <v>2005</v>
      </c>
      <c r="G35" s="22" t="s">
        <v>90</v>
      </c>
      <c r="H35" s="21" t="s">
        <v>177</v>
      </c>
      <c r="I35" s="21" t="s">
        <v>91</v>
      </c>
      <c r="J35" s="11" t="s">
        <v>92</v>
      </c>
      <c r="K35" s="11">
        <v>1200</v>
      </c>
      <c r="L35" s="11">
        <v>0.01</v>
      </c>
      <c r="M35" s="21" t="s">
        <v>80</v>
      </c>
      <c r="N35" s="21" t="s">
        <v>88</v>
      </c>
      <c r="O35" s="30">
        <v>89.9</v>
      </c>
      <c r="P35" s="106">
        <v>4.0000000000000105E-4</v>
      </c>
      <c r="Q35" s="29">
        <v>6.3E-3</v>
      </c>
      <c r="R35" s="29">
        <v>0.01</v>
      </c>
      <c r="S35" s="29">
        <v>1.2200000000000001E-2</v>
      </c>
    </row>
    <row r="36" spans="1:19" ht="14.25" customHeight="1">
      <c r="A36" s="270" t="s">
        <v>94</v>
      </c>
      <c r="B36" s="17" t="s">
        <v>89</v>
      </c>
      <c r="C36" s="20" t="s">
        <v>124</v>
      </c>
      <c r="D36" s="261"/>
      <c r="E36" s="262"/>
      <c r="F36" s="18">
        <v>2005</v>
      </c>
      <c r="G36" s="19" t="s">
        <v>90</v>
      </c>
      <c r="H36" s="18" t="s">
        <v>177</v>
      </c>
      <c r="I36" s="17" t="s">
        <v>91</v>
      </c>
      <c r="J36" s="158" t="s">
        <v>93</v>
      </c>
      <c r="K36" s="158">
        <v>1200</v>
      </c>
      <c r="L36" s="158">
        <v>0.2</v>
      </c>
      <c r="M36" s="18" t="s">
        <v>80</v>
      </c>
      <c r="N36" s="17" t="s">
        <v>88</v>
      </c>
      <c r="O36" s="76">
        <v>100</v>
      </c>
      <c r="P36" s="42">
        <v>4.0000000000000036E-3</v>
      </c>
      <c r="Q36" s="42">
        <v>4.1000000000000003E-3</v>
      </c>
      <c r="R36" s="42">
        <v>5.1000000000000004E-3</v>
      </c>
      <c r="S36" s="42">
        <v>5.5999999999999999E-3</v>
      </c>
    </row>
    <row r="37" spans="1:19" ht="14.25" customHeight="1">
      <c r="A37" s="270" t="s">
        <v>94</v>
      </c>
      <c r="B37" s="17" t="s">
        <v>89</v>
      </c>
      <c r="C37" s="158" t="s">
        <v>100</v>
      </c>
      <c r="D37" s="109">
        <v>-50.439226072752582</v>
      </c>
      <c r="E37" s="109">
        <v>-21.205476000000004</v>
      </c>
      <c r="F37" s="18">
        <v>2005</v>
      </c>
      <c r="G37" s="19" t="s">
        <v>90</v>
      </c>
      <c r="H37" s="18" t="s">
        <v>177</v>
      </c>
      <c r="I37" s="17" t="s">
        <v>91</v>
      </c>
      <c r="J37" s="158" t="s">
        <v>93</v>
      </c>
      <c r="K37" s="17">
        <v>1800</v>
      </c>
      <c r="L37" s="158">
        <v>0.2</v>
      </c>
      <c r="M37" s="18" t="s">
        <v>80</v>
      </c>
      <c r="N37" s="17" t="s">
        <v>88</v>
      </c>
      <c r="O37" s="10">
        <f>(93+98+100+97+100+100)/6</f>
        <v>98</v>
      </c>
      <c r="P37" s="42">
        <v>1.0000000000000009E-2</v>
      </c>
      <c r="Q37" s="42">
        <v>9.1999999999999998E-3</v>
      </c>
      <c r="R37" s="42">
        <v>1.6E-2</v>
      </c>
      <c r="S37" s="42">
        <v>0.02</v>
      </c>
    </row>
    <row r="38" spans="1:19" ht="14.25" customHeight="1">
      <c r="A38" s="270" t="s">
        <v>94</v>
      </c>
      <c r="B38" s="17" t="s">
        <v>89</v>
      </c>
      <c r="C38" s="158" t="s">
        <v>101</v>
      </c>
      <c r="D38" s="109">
        <v>-48.567377839455055</v>
      </c>
      <c r="E38" s="109">
        <v>-20.558455515000002</v>
      </c>
      <c r="F38" s="18">
        <v>2005</v>
      </c>
      <c r="G38" s="19" t="s">
        <v>90</v>
      </c>
      <c r="H38" s="18" t="s">
        <v>177</v>
      </c>
      <c r="I38" s="17" t="s">
        <v>91</v>
      </c>
      <c r="J38" s="158" t="s">
        <v>93</v>
      </c>
      <c r="K38" s="17">
        <v>1200</v>
      </c>
      <c r="L38" s="158">
        <v>0.2</v>
      </c>
      <c r="M38" s="18" t="s">
        <v>80</v>
      </c>
      <c r="N38" s="17" t="s">
        <v>88</v>
      </c>
      <c r="O38" s="10">
        <f>(100+100+100+99.5)/4</f>
        <v>99.875</v>
      </c>
      <c r="P38" s="42">
        <v>1.0000000000000009E-2</v>
      </c>
      <c r="Q38" s="42">
        <v>7.0200000000000002E-3</v>
      </c>
      <c r="R38" s="42">
        <v>1.392E-2</v>
      </c>
      <c r="S38" s="42">
        <v>1.848E-2</v>
      </c>
    </row>
    <row r="39" spans="1:19" ht="14.25" customHeight="1">
      <c r="A39" s="270" t="s">
        <v>94</v>
      </c>
      <c r="B39" s="17" t="s">
        <v>89</v>
      </c>
      <c r="C39" s="158" t="s">
        <v>104</v>
      </c>
      <c r="D39" s="109">
        <v>-47.06015627297316</v>
      </c>
      <c r="E39" s="109">
        <v>-22.907342500000002</v>
      </c>
      <c r="F39" s="18">
        <v>2005</v>
      </c>
      <c r="G39" s="19" t="s">
        <v>90</v>
      </c>
      <c r="H39" s="18" t="s">
        <v>177</v>
      </c>
      <c r="I39" s="17" t="s">
        <v>91</v>
      </c>
      <c r="J39" s="158" t="s">
        <v>93</v>
      </c>
      <c r="K39" s="17">
        <v>1200</v>
      </c>
      <c r="L39" s="158">
        <v>0.2</v>
      </c>
      <c r="M39" s="18" t="s">
        <v>80</v>
      </c>
      <c r="N39" s="17" t="s">
        <v>88</v>
      </c>
      <c r="O39" s="10">
        <f>(100+100+98+100)/4</f>
        <v>99.5</v>
      </c>
      <c r="P39" s="42">
        <v>1.0000000000000009E-2</v>
      </c>
      <c r="Q39" s="42">
        <v>5.7999999999999996E-3</v>
      </c>
      <c r="R39" s="42">
        <v>1.0999999999999999E-2</v>
      </c>
      <c r="S39" s="42">
        <v>1.4E-2</v>
      </c>
    </row>
    <row r="40" spans="1:19" ht="14.25" customHeight="1">
      <c r="A40" s="270" t="s">
        <v>94</v>
      </c>
      <c r="B40" s="17" t="s">
        <v>89</v>
      </c>
      <c r="C40" s="158" t="s">
        <v>125</v>
      </c>
      <c r="D40" s="109">
        <v>-47.299749835960981</v>
      </c>
      <c r="E40" s="109">
        <v>-23.265442500000002</v>
      </c>
      <c r="F40" s="18">
        <v>2005</v>
      </c>
      <c r="G40" s="19" t="s">
        <v>90</v>
      </c>
      <c r="H40" s="18" t="s">
        <v>177</v>
      </c>
      <c r="I40" s="17" t="s">
        <v>91</v>
      </c>
      <c r="J40" s="158" t="s">
        <v>93</v>
      </c>
      <c r="K40" s="17">
        <v>1200</v>
      </c>
      <c r="L40" s="158">
        <v>0.2</v>
      </c>
      <c r="M40" s="18" t="s">
        <v>80</v>
      </c>
      <c r="N40" s="17" t="s">
        <v>88</v>
      </c>
      <c r="O40" s="10">
        <f>(99.5+97+100+99.5)/4</f>
        <v>99</v>
      </c>
      <c r="P40" s="42">
        <v>1.0000000000000009E-2</v>
      </c>
      <c r="Q40" s="42">
        <v>8.0999999999999996E-3</v>
      </c>
      <c r="R40" s="42">
        <v>1.7000000000000001E-2</v>
      </c>
      <c r="S40" s="42">
        <v>2.3E-2</v>
      </c>
    </row>
    <row r="41" spans="1:19" ht="14.25" customHeight="1">
      <c r="A41" s="270" t="s">
        <v>94</v>
      </c>
      <c r="B41" s="17" t="s">
        <v>89</v>
      </c>
      <c r="C41" s="158" t="s">
        <v>107</v>
      </c>
      <c r="D41" s="109">
        <v>-49.951645643103269</v>
      </c>
      <c r="E41" s="109">
        <v>-22.122743500000002</v>
      </c>
      <c r="F41" s="18">
        <v>2005</v>
      </c>
      <c r="G41" s="19" t="s">
        <v>90</v>
      </c>
      <c r="H41" s="18" t="s">
        <v>177</v>
      </c>
      <c r="I41" s="17" t="s">
        <v>91</v>
      </c>
      <c r="J41" s="158" t="s">
        <v>93</v>
      </c>
      <c r="K41" s="17">
        <v>1200</v>
      </c>
      <c r="L41" s="158">
        <v>0.2</v>
      </c>
      <c r="M41" s="18" t="s">
        <v>80</v>
      </c>
      <c r="N41" s="17" t="s">
        <v>88</v>
      </c>
      <c r="O41" s="10">
        <f>(99+99.4+99.4+100)/4</f>
        <v>99.45</v>
      </c>
      <c r="P41" s="42">
        <v>9.999999999999995E-3</v>
      </c>
      <c r="Q41" s="42">
        <v>4.8999999999999998E-3</v>
      </c>
      <c r="R41" s="42">
        <v>9.1999999999999998E-3</v>
      </c>
      <c r="S41" s="42">
        <v>1.2E-2</v>
      </c>
    </row>
    <row r="42" spans="1:19" ht="14.25" customHeight="1">
      <c r="A42" s="270" t="s">
        <v>94</v>
      </c>
      <c r="B42" s="17" t="s">
        <v>89</v>
      </c>
      <c r="C42" s="158" t="s">
        <v>126</v>
      </c>
      <c r="D42" s="109">
        <v>-48.562140427676248</v>
      </c>
      <c r="E42" s="109">
        <v>-21.778922883855454</v>
      </c>
      <c r="F42" s="18">
        <v>2005</v>
      </c>
      <c r="G42" s="19" t="s">
        <v>90</v>
      </c>
      <c r="H42" s="18" t="s">
        <v>177</v>
      </c>
      <c r="I42" s="17" t="s">
        <v>91</v>
      </c>
      <c r="J42" s="158" t="s">
        <v>93</v>
      </c>
      <c r="K42" s="17">
        <v>900</v>
      </c>
      <c r="L42" s="158">
        <v>0.2</v>
      </c>
      <c r="M42" s="18" t="s">
        <v>80</v>
      </c>
      <c r="N42" s="17" t="s">
        <v>88</v>
      </c>
      <c r="O42" s="5">
        <f>(100+100+100)/3</f>
        <v>100</v>
      </c>
      <c r="P42" s="42">
        <v>1.0000000000000009E-2</v>
      </c>
      <c r="Q42" s="43">
        <v>8.8999999999999999E-3</v>
      </c>
      <c r="R42" s="43">
        <v>1.6E-2</v>
      </c>
      <c r="S42" s="43">
        <v>0.02</v>
      </c>
    </row>
    <row r="43" spans="1:19" ht="14.25" customHeight="1">
      <c r="A43" s="270" t="s">
        <v>94</v>
      </c>
      <c r="B43" s="17" t="s">
        <v>89</v>
      </c>
      <c r="C43" s="158" t="s">
        <v>95</v>
      </c>
      <c r="D43" s="109">
        <v>-46.570383182112749</v>
      </c>
      <c r="E43" s="109">
        <v>-23.567386500000001</v>
      </c>
      <c r="F43" s="18">
        <v>2005</v>
      </c>
      <c r="G43" s="19" t="s">
        <v>90</v>
      </c>
      <c r="H43" s="18" t="s">
        <v>177</v>
      </c>
      <c r="I43" s="17" t="s">
        <v>91</v>
      </c>
      <c r="J43" s="158" t="s">
        <v>93</v>
      </c>
      <c r="K43" s="17">
        <v>1200</v>
      </c>
      <c r="L43" s="158">
        <v>0.2</v>
      </c>
      <c r="M43" s="18" t="s">
        <v>80</v>
      </c>
      <c r="N43" s="17" t="s">
        <v>88</v>
      </c>
      <c r="O43" s="5">
        <f>(100+100+100+100)/4</f>
        <v>100</v>
      </c>
      <c r="P43" s="42">
        <v>0</v>
      </c>
      <c r="Q43" s="42">
        <v>7.7000000000000002E-3</v>
      </c>
      <c r="R43" s="42">
        <v>1.6E-2</v>
      </c>
      <c r="S43" s="42">
        <v>2.1000000000000001E-2</v>
      </c>
    </row>
    <row r="44" spans="1:19" ht="14.25" customHeight="1">
      <c r="A44" s="270" t="s">
        <v>94</v>
      </c>
      <c r="B44" s="17" t="s">
        <v>89</v>
      </c>
      <c r="C44" s="158" t="s">
        <v>109</v>
      </c>
      <c r="D44" s="109">
        <v>-47.805475915541528</v>
      </c>
      <c r="E44" s="109">
        <v>-21.184834500000004</v>
      </c>
      <c r="F44" s="18">
        <v>2005</v>
      </c>
      <c r="G44" s="19" t="s">
        <v>90</v>
      </c>
      <c r="H44" s="18" t="s">
        <v>177</v>
      </c>
      <c r="I44" s="17" t="s">
        <v>91</v>
      </c>
      <c r="J44" s="158" t="s">
        <v>93</v>
      </c>
      <c r="K44" s="17">
        <v>1200</v>
      </c>
      <c r="L44" s="158">
        <v>0.2</v>
      </c>
      <c r="M44" s="18" t="s">
        <v>80</v>
      </c>
      <c r="N44" s="17" t="s">
        <v>88</v>
      </c>
      <c r="O44" s="10">
        <f>(98.9+100+100+99.5)/4</f>
        <v>99.6</v>
      </c>
      <c r="P44" s="42">
        <v>1.0000000000000009E-2</v>
      </c>
      <c r="Q44" s="42">
        <v>0.01</v>
      </c>
      <c r="R44" s="42">
        <v>1.7999999999999999E-2</v>
      </c>
      <c r="S44" s="42">
        <v>2.3E-2</v>
      </c>
    </row>
    <row r="45" spans="1:19" ht="14.25" customHeight="1">
      <c r="A45" s="270" t="s">
        <v>94</v>
      </c>
      <c r="B45" s="17" t="s">
        <v>89</v>
      </c>
      <c r="C45" s="158" t="s">
        <v>127</v>
      </c>
      <c r="D45" s="109">
        <v>-46.922092505649722</v>
      </c>
      <c r="E45" s="109">
        <v>-23.933737500000003</v>
      </c>
      <c r="F45" s="18">
        <v>2005</v>
      </c>
      <c r="G45" s="19" t="s">
        <v>90</v>
      </c>
      <c r="H45" s="18" t="s">
        <v>177</v>
      </c>
      <c r="I45" s="17" t="s">
        <v>91</v>
      </c>
      <c r="J45" s="158" t="s">
        <v>93</v>
      </c>
      <c r="K45" s="17">
        <v>1200</v>
      </c>
      <c r="L45" s="158">
        <v>0.2</v>
      </c>
      <c r="M45" s="18" t="s">
        <v>80</v>
      </c>
      <c r="N45" s="17" t="s">
        <v>88</v>
      </c>
      <c r="O45" s="10">
        <f>(100+100+100+99.5)/4</f>
        <v>99.875</v>
      </c>
      <c r="P45" s="42">
        <v>9.999999999999995E-3</v>
      </c>
      <c r="Q45" s="42">
        <v>8.6E-3</v>
      </c>
      <c r="R45" s="42">
        <v>1.4999999999999999E-2</v>
      </c>
      <c r="S45" s="42">
        <v>0.02</v>
      </c>
    </row>
    <row r="46" spans="1:19" ht="14.25" customHeight="1">
      <c r="A46" s="270" t="s">
        <v>94</v>
      </c>
      <c r="B46" s="17" t="s">
        <v>89</v>
      </c>
      <c r="C46" s="158" t="s">
        <v>110</v>
      </c>
      <c r="D46" s="109">
        <v>-46.331370849190684</v>
      </c>
      <c r="E46" s="109">
        <v>-23.933737500000003</v>
      </c>
      <c r="F46" s="18">
        <v>2005</v>
      </c>
      <c r="G46" s="19" t="s">
        <v>90</v>
      </c>
      <c r="H46" s="17" t="s">
        <v>177</v>
      </c>
      <c r="I46" s="17" t="s">
        <v>91</v>
      </c>
      <c r="J46" s="158" t="s">
        <v>93</v>
      </c>
      <c r="K46" s="17">
        <v>1200</v>
      </c>
      <c r="L46" s="158">
        <v>0.2</v>
      </c>
      <c r="M46" s="18" t="s">
        <v>80</v>
      </c>
      <c r="N46" s="17" t="s">
        <v>88</v>
      </c>
      <c r="O46" s="10">
        <f>(98+97.3+98+100)/4</f>
        <v>98.325000000000003</v>
      </c>
      <c r="P46" s="42">
        <v>1.0000000000000009E-2</v>
      </c>
      <c r="Q46" s="42">
        <v>1.4E-2</v>
      </c>
      <c r="R46" s="42">
        <v>5.3999999999999999E-2</v>
      </c>
      <c r="S46" s="42">
        <v>9.6000000000000002E-2</v>
      </c>
    </row>
    <row r="47" spans="1:19" ht="14.25" customHeight="1">
      <c r="A47" s="270" t="s">
        <v>94</v>
      </c>
      <c r="B47" s="17" t="s">
        <v>89</v>
      </c>
      <c r="C47" s="158" t="s">
        <v>111</v>
      </c>
      <c r="D47" s="109">
        <v>-47.889237684691636</v>
      </c>
      <c r="E47" s="109">
        <v>-22.015998500000002</v>
      </c>
      <c r="F47" s="18">
        <v>2005</v>
      </c>
      <c r="G47" s="19" t="s">
        <v>90</v>
      </c>
      <c r="H47" s="18" t="s">
        <v>177</v>
      </c>
      <c r="I47" s="17" t="s">
        <v>91</v>
      </c>
      <c r="J47" s="158" t="s">
        <v>93</v>
      </c>
      <c r="K47" s="17">
        <v>1200</v>
      </c>
      <c r="L47" s="158">
        <v>0.2</v>
      </c>
      <c r="M47" s="18" t="s">
        <v>80</v>
      </c>
      <c r="N47" s="17" t="s">
        <v>88</v>
      </c>
      <c r="O47" s="10">
        <f>(97.5+100+98.9+98.1)/4</f>
        <v>98.625</v>
      </c>
      <c r="P47" s="42">
        <v>1.999999999999999E-2</v>
      </c>
      <c r="Q47" s="42">
        <v>6.5700000000000003E-3</v>
      </c>
      <c r="R47" s="42">
        <v>1.294E-2</v>
      </c>
      <c r="S47" s="42">
        <v>1.7129999999999999E-2</v>
      </c>
    </row>
    <row r="48" spans="1:19" ht="14.25" customHeight="1">
      <c r="A48" s="270" t="s">
        <v>94</v>
      </c>
      <c r="B48" s="17" t="s">
        <v>89</v>
      </c>
      <c r="C48" s="158" t="s">
        <v>112</v>
      </c>
      <c r="D48" s="109">
        <v>-49.381347685025794</v>
      </c>
      <c r="E48" s="109">
        <v>-20.812636500000004</v>
      </c>
      <c r="F48" s="18">
        <v>2005</v>
      </c>
      <c r="G48" s="19" t="s">
        <v>90</v>
      </c>
      <c r="H48" s="18" t="s">
        <v>177</v>
      </c>
      <c r="I48" s="17" t="s">
        <v>91</v>
      </c>
      <c r="J48" s="158" t="s">
        <v>93</v>
      </c>
      <c r="K48" s="17">
        <v>1200</v>
      </c>
      <c r="L48" s="158">
        <v>0.2</v>
      </c>
      <c r="M48" s="18" t="s">
        <v>80</v>
      </c>
      <c r="N48" s="17" t="s">
        <v>88</v>
      </c>
      <c r="O48" s="10">
        <f>(100+100+100+99.5)/4</f>
        <v>99.875</v>
      </c>
      <c r="P48" s="42">
        <v>1.0000000000000009E-2</v>
      </c>
      <c r="Q48" s="42">
        <v>8.9899999999999997E-3</v>
      </c>
      <c r="R48" s="42">
        <v>1.5559999999999999E-2</v>
      </c>
      <c r="S48" s="42">
        <v>1.9529999999999999E-2</v>
      </c>
    </row>
    <row r="49" spans="1:19" ht="14.25" customHeight="1">
      <c r="A49" s="270" t="s">
        <v>94</v>
      </c>
      <c r="B49" s="17" t="s">
        <v>89</v>
      </c>
      <c r="C49" s="158" t="s">
        <v>113</v>
      </c>
      <c r="D49" s="109">
        <v>-45.402680140543957</v>
      </c>
      <c r="E49" s="109">
        <v>-23.806687652148753</v>
      </c>
      <c r="F49" s="18">
        <v>2005</v>
      </c>
      <c r="G49" s="19" t="s">
        <v>90</v>
      </c>
      <c r="H49" s="18" t="s">
        <v>177</v>
      </c>
      <c r="I49" s="17" t="s">
        <v>91</v>
      </c>
      <c r="J49" s="158" t="s">
        <v>93</v>
      </c>
      <c r="K49" s="17">
        <v>1500</v>
      </c>
      <c r="L49" s="158">
        <v>0.2</v>
      </c>
      <c r="M49" s="18" t="s">
        <v>80</v>
      </c>
      <c r="N49" s="17" t="s">
        <v>88</v>
      </c>
      <c r="O49" s="10">
        <f>(96+96+96.1+100+99.5)/5</f>
        <v>97.52000000000001</v>
      </c>
      <c r="P49" s="42">
        <v>1.0000000000000009E-2</v>
      </c>
      <c r="Q49" s="42">
        <v>1.0019999999999999E-2</v>
      </c>
      <c r="R49" s="42">
        <v>1.406E-2</v>
      </c>
      <c r="S49" s="42">
        <v>1.618E-2</v>
      </c>
    </row>
    <row r="50" spans="1:19" ht="14.25" customHeight="1">
      <c r="A50" s="270" t="s">
        <v>94</v>
      </c>
      <c r="B50" s="17" t="s">
        <v>89</v>
      </c>
      <c r="C50" s="158" t="s">
        <v>114</v>
      </c>
      <c r="D50" s="109">
        <v>-47.457853253204043</v>
      </c>
      <c r="E50" s="109">
        <v>-23.499323</v>
      </c>
      <c r="F50" s="18">
        <v>2005</v>
      </c>
      <c r="G50" s="19" t="s">
        <v>90</v>
      </c>
      <c r="H50" s="18" t="s">
        <v>177</v>
      </c>
      <c r="I50" s="17" t="s">
        <v>91</v>
      </c>
      <c r="J50" s="158" t="s">
        <v>93</v>
      </c>
      <c r="K50" s="17">
        <v>1200</v>
      </c>
      <c r="L50" s="158">
        <v>0.2</v>
      </c>
      <c r="M50" s="18" t="s">
        <v>80</v>
      </c>
      <c r="N50" s="17" t="s">
        <v>88</v>
      </c>
      <c r="O50" s="10">
        <f>(99.5+100+98.5+100)/4</f>
        <v>99.5</v>
      </c>
      <c r="P50" s="42">
        <v>7.9999999999999932E-3</v>
      </c>
      <c r="Q50" s="42">
        <v>9.7999999999999997E-3</v>
      </c>
      <c r="R50" s="42">
        <v>1.7000000000000001E-2</v>
      </c>
      <c r="S50" s="42">
        <v>2.1999999999999999E-2</v>
      </c>
    </row>
    <row r="51" spans="1:19" ht="14.25" customHeight="1">
      <c r="A51" s="270" t="s">
        <v>94</v>
      </c>
      <c r="B51" s="17" t="s">
        <v>89</v>
      </c>
      <c r="C51" s="17" t="s">
        <v>128</v>
      </c>
      <c r="D51" s="109">
        <v>-52.462401669956037</v>
      </c>
      <c r="E51" s="109">
        <v>-23.081879475000008</v>
      </c>
      <c r="F51" s="18">
        <v>2005</v>
      </c>
      <c r="G51" s="19" t="s">
        <v>90</v>
      </c>
      <c r="H51" s="18" t="s">
        <v>177</v>
      </c>
      <c r="I51" s="17" t="s">
        <v>91</v>
      </c>
      <c r="J51" s="158" t="s">
        <v>93</v>
      </c>
      <c r="K51" s="17">
        <v>1200</v>
      </c>
      <c r="L51" s="158">
        <v>0.2</v>
      </c>
      <c r="M51" s="17" t="s">
        <v>80</v>
      </c>
      <c r="N51" s="17" t="s">
        <v>88</v>
      </c>
      <c r="O51" s="10">
        <f>(100+100+98+100)/4</f>
        <v>99.5</v>
      </c>
      <c r="P51" s="42">
        <v>0</v>
      </c>
      <c r="Q51" s="42">
        <v>6.4999999999999997E-3</v>
      </c>
      <c r="R51" s="42">
        <v>0.01</v>
      </c>
      <c r="S51" s="42">
        <v>1.2999999999999999E-2</v>
      </c>
    </row>
    <row r="52" spans="1:19" ht="14.25" customHeight="1" thickBot="1">
      <c r="A52" s="11" t="s">
        <v>94</v>
      </c>
      <c r="B52" s="21" t="s">
        <v>89</v>
      </c>
      <c r="C52" s="21" t="s">
        <v>129</v>
      </c>
      <c r="D52" s="110">
        <v>-58.117939347991616</v>
      </c>
      <c r="E52" s="110">
        <v>-15.235682810143553</v>
      </c>
      <c r="F52" s="21">
        <v>2005</v>
      </c>
      <c r="G52" s="22" t="s">
        <v>90</v>
      </c>
      <c r="H52" s="21" t="s">
        <v>177</v>
      </c>
      <c r="I52" s="21" t="s">
        <v>91</v>
      </c>
      <c r="J52" s="11" t="s">
        <v>93</v>
      </c>
      <c r="K52" s="21">
        <v>1200</v>
      </c>
      <c r="L52" s="11">
        <v>0.2</v>
      </c>
      <c r="M52" s="21" t="s">
        <v>80</v>
      </c>
      <c r="N52" s="21" t="s">
        <v>88</v>
      </c>
      <c r="O52" s="30">
        <f>(100+100+99.4+100)/4</f>
        <v>99.85</v>
      </c>
      <c r="P52" s="44">
        <v>9.999999999999995E-3</v>
      </c>
      <c r="Q52" s="44">
        <v>1.2E-2</v>
      </c>
      <c r="R52" s="44">
        <v>2.5000000000000001E-2</v>
      </c>
      <c r="S52" s="44">
        <v>3.5000000000000003E-2</v>
      </c>
    </row>
    <row r="53" spans="1:19" ht="14.25" customHeight="1">
      <c r="A53" s="270" t="s">
        <v>94</v>
      </c>
      <c r="B53" s="17" t="s">
        <v>89</v>
      </c>
      <c r="C53" s="20" t="s">
        <v>124</v>
      </c>
      <c r="D53" s="261"/>
      <c r="E53" s="262"/>
      <c r="F53" s="17">
        <v>2005</v>
      </c>
      <c r="G53" s="19" t="s">
        <v>90</v>
      </c>
      <c r="H53" s="17" t="s">
        <v>188</v>
      </c>
      <c r="I53" s="17" t="s">
        <v>91</v>
      </c>
      <c r="J53" s="1" t="s">
        <v>20</v>
      </c>
      <c r="K53" s="27">
        <v>600</v>
      </c>
      <c r="L53" s="158">
        <v>36.5</v>
      </c>
      <c r="M53" s="111" t="s">
        <v>50</v>
      </c>
      <c r="N53" s="77" t="s">
        <v>88</v>
      </c>
      <c r="O53" s="76">
        <v>100</v>
      </c>
      <c r="P53" s="24">
        <v>0</v>
      </c>
    </row>
    <row r="54" spans="1:19" ht="14.25" customHeight="1">
      <c r="A54" s="137" t="s">
        <v>7</v>
      </c>
      <c r="B54" s="17" t="s">
        <v>89</v>
      </c>
      <c r="C54" s="158" t="s">
        <v>100</v>
      </c>
      <c r="D54" s="109">
        <v>-50.439226072752582</v>
      </c>
      <c r="E54" s="109">
        <v>-21.205476000000004</v>
      </c>
      <c r="F54" s="17">
        <v>2005</v>
      </c>
      <c r="G54" s="19" t="s">
        <v>90</v>
      </c>
      <c r="H54" s="17" t="s">
        <v>188</v>
      </c>
      <c r="I54" s="17" t="s">
        <v>91</v>
      </c>
      <c r="J54" s="1" t="s">
        <v>20</v>
      </c>
      <c r="K54" s="78">
        <v>750</v>
      </c>
      <c r="L54" s="10">
        <v>73</v>
      </c>
      <c r="M54" s="111" t="s">
        <v>50</v>
      </c>
      <c r="N54" s="77" t="s">
        <v>88</v>
      </c>
      <c r="O54" s="31">
        <v>43.5</v>
      </c>
      <c r="P54" s="10">
        <v>24.502448857206087</v>
      </c>
    </row>
    <row r="55" spans="1:19" ht="14.25" customHeight="1">
      <c r="A55" s="137" t="s">
        <v>7</v>
      </c>
      <c r="B55" s="17" t="s">
        <v>89</v>
      </c>
      <c r="C55" s="158" t="s">
        <v>101</v>
      </c>
      <c r="D55" s="109">
        <v>-48.567377839455055</v>
      </c>
      <c r="E55" s="109">
        <v>-20.558455515000002</v>
      </c>
      <c r="F55" s="17">
        <v>2005</v>
      </c>
      <c r="G55" s="19" t="s">
        <v>90</v>
      </c>
      <c r="H55" s="17" t="s">
        <v>188</v>
      </c>
      <c r="I55" s="17" t="s">
        <v>91</v>
      </c>
      <c r="J55" s="1" t="s">
        <v>20</v>
      </c>
      <c r="K55" s="17">
        <v>750</v>
      </c>
      <c r="L55" s="10">
        <v>73</v>
      </c>
      <c r="M55" s="111" t="s">
        <v>50</v>
      </c>
      <c r="N55" s="2" t="s">
        <v>88</v>
      </c>
      <c r="O55" s="24">
        <v>76.959999999999994</v>
      </c>
      <c r="P55" s="10">
        <v>7.5592989092904626</v>
      </c>
    </row>
    <row r="56" spans="1:19" ht="14.25" customHeight="1">
      <c r="A56" s="270" t="s">
        <v>94</v>
      </c>
      <c r="B56" s="17" t="s">
        <v>89</v>
      </c>
      <c r="C56" s="158" t="s">
        <v>104</v>
      </c>
      <c r="D56" s="109">
        <v>-47.06015627297316</v>
      </c>
      <c r="E56" s="109">
        <v>-22.907342500000002</v>
      </c>
      <c r="F56" s="17">
        <v>2005</v>
      </c>
      <c r="G56" s="19" t="s">
        <v>90</v>
      </c>
      <c r="H56" s="17" t="s">
        <v>188</v>
      </c>
      <c r="I56" s="17" t="s">
        <v>91</v>
      </c>
      <c r="J56" s="1" t="s">
        <v>20</v>
      </c>
      <c r="K56" s="17">
        <v>750</v>
      </c>
      <c r="L56" s="10">
        <v>73</v>
      </c>
      <c r="M56" s="111" t="s">
        <v>50</v>
      </c>
      <c r="N56" s="2" t="s">
        <v>88</v>
      </c>
      <c r="O56" s="24">
        <v>88.88</v>
      </c>
      <c r="P56" s="10">
        <v>6.9113674479078275</v>
      </c>
    </row>
    <row r="57" spans="1:19" ht="14.25" customHeight="1">
      <c r="A57" s="270" t="s">
        <v>94</v>
      </c>
      <c r="B57" s="17" t="s">
        <v>89</v>
      </c>
      <c r="C57" s="158" t="s">
        <v>125</v>
      </c>
      <c r="D57" s="109">
        <v>-47.299749835960981</v>
      </c>
      <c r="E57" s="109">
        <v>-23.265442500000002</v>
      </c>
      <c r="F57" s="17">
        <v>2005</v>
      </c>
      <c r="G57" s="19" t="s">
        <v>90</v>
      </c>
      <c r="H57" s="17" t="s">
        <v>188</v>
      </c>
      <c r="I57" s="17" t="s">
        <v>91</v>
      </c>
      <c r="J57" s="1" t="s">
        <v>20</v>
      </c>
      <c r="K57" s="17">
        <v>600</v>
      </c>
      <c r="L57" s="10">
        <v>73</v>
      </c>
      <c r="M57" s="111" t="s">
        <v>50</v>
      </c>
      <c r="N57" s="2" t="s">
        <v>88</v>
      </c>
      <c r="O57" s="24">
        <v>89.9</v>
      </c>
      <c r="P57" s="10">
        <v>4.7265209192385864</v>
      </c>
    </row>
    <row r="58" spans="1:19" ht="14.25" customHeight="1">
      <c r="A58" s="270" t="s">
        <v>94</v>
      </c>
      <c r="B58" s="17" t="s">
        <v>89</v>
      </c>
      <c r="C58" s="158" t="s">
        <v>107</v>
      </c>
      <c r="D58" s="109">
        <v>-49.951645643103269</v>
      </c>
      <c r="E58" s="109">
        <v>-22.122743500000002</v>
      </c>
      <c r="F58" s="17">
        <v>2005</v>
      </c>
      <c r="G58" s="19" t="s">
        <v>90</v>
      </c>
      <c r="H58" s="17" t="s">
        <v>188</v>
      </c>
      <c r="I58" s="17" t="s">
        <v>91</v>
      </c>
      <c r="J58" s="1" t="s">
        <v>20</v>
      </c>
      <c r="K58" s="17">
        <v>600</v>
      </c>
      <c r="L58" s="10">
        <v>73</v>
      </c>
      <c r="M58" s="111" t="s">
        <v>50</v>
      </c>
      <c r="N58" s="2" t="s">
        <v>88</v>
      </c>
      <c r="O58" s="24">
        <v>83.674999999999997</v>
      </c>
      <c r="P58" s="10">
        <v>2.6862303202319251</v>
      </c>
    </row>
    <row r="59" spans="1:19" ht="14.25" customHeight="1">
      <c r="A59" s="270" t="s">
        <v>94</v>
      </c>
      <c r="B59" s="17" t="s">
        <v>89</v>
      </c>
      <c r="C59" s="158" t="s">
        <v>126</v>
      </c>
      <c r="D59" s="109">
        <v>-48.562140427676248</v>
      </c>
      <c r="E59" s="109">
        <v>-21.778922883855454</v>
      </c>
      <c r="F59" s="17">
        <v>2005</v>
      </c>
      <c r="G59" s="19" t="s">
        <v>90</v>
      </c>
      <c r="H59" s="17" t="s">
        <v>188</v>
      </c>
      <c r="I59" s="17" t="s">
        <v>91</v>
      </c>
      <c r="J59" s="1" t="s">
        <v>20</v>
      </c>
      <c r="K59" s="17">
        <v>750</v>
      </c>
      <c r="L59" s="10">
        <v>73</v>
      </c>
      <c r="M59" s="111" t="s">
        <v>50</v>
      </c>
      <c r="N59" s="2" t="s">
        <v>88</v>
      </c>
      <c r="O59" s="24">
        <v>79.64</v>
      </c>
      <c r="P59" s="10">
        <v>80</v>
      </c>
    </row>
    <row r="60" spans="1:19" ht="14.25" customHeight="1">
      <c r="A60" s="270" t="s">
        <v>94</v>
      </c>
      <c r="B60" s="17" t="s">
        <v>89</v>
      </c>
      <c r="C60" s="158" t="s">
        <v>95</v>
      </c>
      <c r="D60" s="109">
        <v>-46.570383182112749</v>
      </c>
      <c r="E60" s="109">
        <v>-23.567386500000001</v>
      </c>
      <c r="F60" s="17">
        <v>2005</v>
      </c>
      <c r="G60" s="19" t="s">
        <v>90</v>
      </c>
      <c r="H60" s="17" t="s">
        <v>188</v>
      </c>
      <c r="I60" s="17" t="s">
        <v>91</v>
      </c>
      <c r="J60" s="1" t="s">
        <v>20</v>
      </c>
      <c r="K60" s="17">
        <v>750</v>
      </c>
      <c r="L60" s="10">
        <v>73</v>
      </c>
      <c r="M60" s="111" t="s">
        <v>50</v>
      </c>
      <c r="N60" s="2" t="s">
        <v>88</v>
      </c>
      <c r="O60" s="24">
        <v>70.64</v>
      </c>
      <c r="P60" s="10">
        <v>15.031067826338916</v>
      </c>
    </row>
    <row r="61" spans="1:19" ht="14.25" customHeight="1">
      <c r="A61" s="137" t="s">
        <v>7</v>
      </c>
      <c r="B61" s="17" t="s">
        <v>89</v>
      </c>
      <c r="C61" s="158" t="s">
        <v>109</v>
      </c>
      <c r="D61" s="109">
        <v>-47.805475915541528</v>
      </c>
      <c r="E61" s="109">
        <v>-21.184834500000004</v>
      </c>
      <c r="F61" s="17">
        <v>2005</v>
      </c>
      <c r="G61" s="19" t="s">
        <v>90</v>
      </c>
      <c r="H61" s="17" t="s">
        <v>188</v>
      </c>
      <c r="I61" s="17" t="s">
        <v>91</v>
      </c>
      <c r="J61" s="1" t="s">
        <v>20</v>
      </c>
      <c r="K61" s="17">
        <v>750</v>
      </c>
      <c r="L61" s="10">
        <v>73</v>
      </c>
      <c r="M61" s="111" t="s">
        <v>50</v>
      </c>
      <c r="N61" s="2" t="s">
        <v>88</v>
      </c>
      <c r="O61" s="24">
        <v>74.400000000000006</v>
      </c>
      <c r="P61" s="10">
        <v>11.488472483319951</v>
      </c>
    </row>
    <row r="62" spans="1:19" ht="14.25" customHeight="1">
      <c r="A62" s="270" t="s">
        <v>94</v>
      </c>
      <c r="B62" s="17" t="s">
        <v>89</v>
      </c>
      <c r="C62" s="158" t="s">
        <v>127</v>
      </c>
      <c r="D62" s="109">
        <v>-46.922092505649722</v>
      </c>
      <c r="E62" s="109">
        <v>-23.933737500000003</v>
      </c>
      <c r="F62" s="17">
        <v>2005</v>
      </c>
      <c r="G62" s="19" t="s">
        <v>90</v>
      </c>
      <c r="H62" s="17" t="s">
        <v>188</v>
      </c>
      <c r="I62" s="17" t="s">
        <v>91</v>
      </c>
      <c r="J62" s="1" t="s">
        <v>20</v>
      </c>
      <c r="K62" s="17">
        <v>900</v>
      </c>
      <c r="L62" s="10">
        <v>73</v>
      </c>
      <c r="M62" s="111" t="s">
        <v>50</v>
      </c>
      <c r="N62" s="2" t="s">
        <v>88</v>
      </c>
      <c r="O62" s="24">
        <v>64.05</v>
      </c>
      <c r="P62" s="10">
        <v>18.847466673269373</v>
      </c>
    </row>
    <row r="63" spans="1:19" ht="14.25" customHeight="1">
      <c r="A63" s="137" t="s">
        <v>7</v>
      </c>
      <c r="B63" s="17" t="s">
        <v>89</v>
      </c>
      <c r="C63" s="158" t="s">
        <v>110</v>
      </c>
      <c r="D63" s="109">
        <v>-46.331370849190684</v>
      </c>
      <c r="E63" s="109">
        <v>-23.933737500000003</v>
      </c>
      <c r="F63" s="17">
        <v>2005</v>
      </c>
      <c r="G63" s="19" t="s">
        <v>90</v>
      </c>
      <c r="H63" s="17" t="s">
        <v>188</v>
      </c>
      <c r="I63" s="17" t="s">
        <v>91</v>
      </c>
      <c r="J63" s="1" t="s">
        <v>20</v>
      </c>
      <c r="K63" s="17">
        <v>750</v>
      </c>
      <c r="L63" s="10">
        <v>73</v>
      </c>
      <c r="M63" s="111" t="s">
        <v>50</v>
      </c>
      <c r="N63" s="2" t="s">
        <v>88</v>
      </c>
      <c r="O63" s="24">
        <v>57.1</v>
      </c>
      <c r="P63" s="10">
        <v>15.636016116645589</v>
      </c>
    </row>
    <row r="64" spans="1:19" ht="14.25" customHeight="1">
      <c r="A64" s="270" t="s">
        <v>94</v>
      </c>
      <c r="B64" s="17" t="s">
        <v>89</v>
      </c>
      <c r="C64" s="158" t="s">
        <v>111</v>
      </c>
      <c r="D64" s="109">
        <v>-47.889237684691636</v>
      </c>
      <c r="E64" s="109">
        <v>-22.015998500000002</v>
      </c>
      <c r="F64" s="17">
        <v>2005</v>
      </c>
      <c r="G64" s="19" t="s">
        <v>90</v>
      </c>
      <c r="H64" s="17" t="s">
        <v>188</v>
      </c>
      <c r="I64" s="17" t="s">
        <v>91</v>
      </c>
      <c r="J64" s="1" t="s">
        <v>20</v>
      </c>
      <c r="K64" s="17">
        <v>750</v>
      </c>
      <c r="L64" s="10">
        <v>73</v>
      </c>
      <c r="M64" s="111" t="s">
        <v>50</v>
      </c>
      <c r="N64" s="2" t="s">
        <v>88</v>
      </c>
      <c r="O64" s="24">
        <v>85.66</v>
      </c>
      <c r="P64" s="10">
        <v>7.4858533247720001</v>
      </c>
    </row>
    <row r="65" spans="1:17" ht="14.25" customHeight="1">
      <c r="A65" s="137" t="s">
        <v>7</v>
      </c>
      <c r="B65" s="17" t="s">
        <v>89</v>
      </c>
      <c r="C65" s="158" t="s">
        <v>112</v>
      </c>
      <c r="D65" s="109">
        <v>-49.381347685025794</v>
      </c>
      <c r="E65" s="109">
        <v>-20.812636500000004</v>
      </c>
      <c r="F65" s="17">
        <v>2005</v>
      </c>
      <c r="G65" s="19" t="s">
        <v>90</v>
      </c>
      <c r="H65" s="17" t="s">
        <v>188</v>
      </c>
      <c r="I65" s="17" t="s">
        <v>91</v>
      </c>
      <c r="J65" s="1" t="s">
        <v>20</v>
      </c>
      <c r="K65" s="17">
        <v>600</v>
      </c>
      <c r="L65" s="10">
        <v>73</v>
      </c>
      <c r="M65" s="111" t="s">
        <v>50</v>
      </c>
      <c r="N65" s="2" t="s">
        <v>88</v>
      </c>
      <c r="O65" s="24">
        <v>56.575000000000003</v>
      </c>
      <c r="P65" s="10">
        <v>17.789205528447116</v>
      </c>
    </row>
    <row r="66" spans="1:17" ht="14.25" customHeight="1">
      <c r="A66" s="270" t="s">
        <v>94</v>
      </c>
      <c r="B66" s="17" t="s">
        <v>89</v>
      </c>
      <c r="C66" s="158" t="s">
        <v>113</v>
      </c>
      <c r="D66" s="109">
        <v>-45.402680140543957</v>
      </c>
      <c r="E66" s="109">
        <v>-23.806687652148753</v>
      </c>
      <c r="F66" s="17">
        <v>2005</v>
      </c>
      <c r="G66" s="19" t="s">
        <v>90</v>
      </c>
      <c r="H66" s="17" t="s">
        <v>188</v>
      </c>
      <c r="I66" s="17" t="s">
        <v>91</v>
      </c>
      <c r="J66" s="1" t="s">
        <v>20</v>
      </c>
      <c r="K66" s="17">
        <v>750</v>
      </c>
      <c r="L66" s="10">
        <v>73</v>
      </c>
      <c r="M66" s="111" t="s">
        <v>50</v>
      </c>
      <c r="N66" s="2" t="s">
        <v>88</v>
      </c>
      <c r="O66" s="24">
        <v>56.96</v>
      </c>
      <c r="P66" s="10">
        <v>5.5689316749265307</v>
      </c>
    </row>
    <row r="67" spans="1:17" ht="14.25" customHeight="1">
      <c r="A67" s="270" t="s">
        <v>94</v>
      </c>
      <c r="B67" s="17" t="s">
        <v>89</v>
      </c>
      <c r="C67" s="158" t="s">
        <v>114</v>
      </c>
      <c r="D67" s="109">
        <v>-47.457853253204043</v>
      </c>
      <c r="E67" s="109">
        <v>-23.499323</v>
      </c>
      <c r="F67" s="17">
        <v>2005</v>
      </c>
      <c r="G67" s="19" t="s">
        <v>90</v>
      </c>
      <c r="H67" s="17" t="s">
        <v>188</v>
      </c>
      <c r="I67" s="17" t="s">
        <v>91</v>
      </c>
      <c r="J67" s="1" t="s">
        <v>20</v>
      </c>
      <c r="K67" s="17">
        <v>600</v>
      </c>
      <c r="L67" s="10">
        <v>73</v>
      </c>
      <c r="M67" s="111" t="s">
        <v>50</v>
      </c>
      <c r="N67" s="2" t="s">
        <v>88</v>
      </c>
      <c r="O67" s="24">
        <v>76.949999999999989</v>
      </c>
      <c r="P67" s="10">
        <v>9.7346460302024358</v>
      </c>
    </row>
    <row r="68" spans="1:17" ht="14.25" customHeight="1">
      <c r="A68" s="270" t="s">
        <v>94</v>
      </c>
      <c r="B68" s="17" t="s">
        <v>89</v>
      </c>
      <c r="C68" s="17" t="s">
        <v>128</v>
      </c>
      <c r="D68" s="109">
        <v>-52.462401669956037</v>
      </c>
      <c r="E68" s="109">
        <v>-23.081879475000008</v>
      </c>
      <c r="F68" s="17">
        <v>2005</v>
      </c>
      <c r="G68" s="19" t="s">
        <v>90</v>
      </c>
      <c r="H68" s="17" t="s">
        <v>188</v>
      </c>
      <c r="I68" s="17" t="s">
        <v>91</v>
      </c>
      <c r="J68" s="1" t="s">
        <v>20</v>
      </c>
      <c r="K68" s="17">
        <v>600</v>
      </c>
      <c r="L68" s="10">
        <v>73</v>
      </c>
      <c r="M68" s="111" t="s">
        <v>50</v>
      </c>
      <c r="N68" s="2" t="s">
        <v>88</v>
      </c>
      <c r="O68" s="24">
        <v>82.924999999999997</v>
      </c>
      <c r="P68" s="24">
        <v>10.133566335040483</v>
      </c>
    </row>
    <row r="69" spans="1:17" ht="14.25" customHeight="1" thickBot="1">
      <c r="A69" s="11" t="s">
        <v>94</v>
      </c>
      <c r="B69" s="21" t="s">
        <v>89</v>
      </c>
      <c r="C69" s="21" t="s">
        <v>129</v>
      </c>
      <c r="D69" s="110">
        <v>-58.117939347991616</v>
      </c>
      <c r="E69" s="110">
        <v>-15.235682810143553</v>
      </c>
      <c r="F69" s="21">
        <v>2005</v>
      </c>
      <c r="G69" s="22" t="s">
        <v>90</v>
      </c>
      <c r="H69" s="21" t="s">
        <v>188</v>
      </c>
      <c r="I69" s="21" t="s">
        <v>91</v>
      </c>
      <c r="J69" s="49" t="s">
        <v>20</v>
      </c>
      <c r="K69" s="21">
        <v>750</v>
      </c>
      <c r="L69" s="30">
        <v>73</v>
      </c>
      <c r="M69" s="114" t="s">
        <v>50</v>
      </c>
      <c r="N69" s="49" t="s">
        <v>88</v>
      </c>
      <c r="O69" s="25">
        <v>98.24</v>
      </c>
      <c r="P69" s="11">
        <v>2.5</v>
      </c>
    </row>
    <row r="70" spans="1:17" ht="14.25" customHeight="1">
      <c r="A70" s="270" t="s">
        <v>94</v>
      </c>
      <c r="B70" s="17" t="s">
        <v>89</v>
      </c>
      <c r="C70" s="20" t="s">
        <v>124</v>
      </c>
      <c r="D70" s="261"/>
      <c r="E70" s="262"/>
      <c r="F70" s="17">
        <v>2005</v>
      </c>
      <c r="G70" s="19" t="s">
        <v>90</v>
      </c>
      <c r="H70" s="17" t="s">
        <v>188</v>
      </c>
      <c r="I70" s="17" t="s">
        <v>91</v>
      </c>
      <c r="J70" s="158" t="s">
        <v>93</v>
      </c>
      <c r="K70" s="158">
        <v>600</v>
      </c>
      <c r="L70" s="10">
        <v>146</v>
      </c>
      <c r="M70" s="111" t="s">
        <v>50</v>
      </c>
      <c r="N70" s="79" t="s">
        <v>88</v>
      </c>
      <c r="O70" s="158">
        <v>100</v>
      </c>
      <c r="P70" s="10">
        <v>28.547533460295099</v>
      </c>
      <c r="Q70" s="158"/>
    </row>
    <row r="71" spans="1:17" ht="14.25" customHeight="1">
      <c r="A71" s="270" t="s">
        <v>94</v>
      </c>
      <c r="B71" s="17" t="s">
        <v>89</v>
      </c>
      <c r="C71" s="158" t="s">
        <v>100</v>
      </c>
      <c r="D71" s="109">
        <v>-50.439226072752582</v>
      </c>
      <c r="E71" s="109">
        <v>-21.205476000000004</v>
      </c>
      <c r="F71" s="17">
        <v>2005</v>
      </c>
      <c r="G71" s="19" t="s">
        <v>90</v>
      </c>
      <c r="H71" s="17" t="s">
        <v>188</v>
      </c>
      <c r="I71" s="17" t="s">
        <v>91</v>
      </c>
      <c r="J71" s="158" t="s">
        <v>93</v>
      </c>
      <c r="K71" s="50">
        <v>900</v>
      </c>
      <c r="L71" s="10">
        <v>292</v>
      </c>
      <c r="M71" s="111" t="s">
        <v>50</v>
      </c>
      <c r="N71" s="1" t="s">
        <v>88</v>
      </c>
      <c r="O71" s="10">
        <v>86.983333333333334</v>
      </c>
      <c r="P71" s="10">
        <v>0.5</v>
      </c>
      <c r="Q71" s="158"/>
    </row>
    <row r="72" spans="1:17" ht="14.25" customHeight="1">
      <c r="A72" s="270" t="s">
        <v>94</v>
      </c>
      <c r="B72" s="17" t="s">
        <v>89</v>
      </c>
      <c r="C72" s="158" t="s">
        <v>101</v>
      </c>
      <c r="D72" s="109">
        <v>-48.567377839455055</v>
      </c>
      <c r="E72" s="109">
        <v>-20.558455515000002</v>
      </c>
      <c r="F72" s="17">
        <v>2005</v>
      </c>
      <c r="G72" s="19" t="s">
        <v>90</v>
      </c>
      <c r="H72" s="17" t="s">
        <v>188</v>
      </c>
      <c r="I72" s="17" t="s">
        <v>91</v>
      </c>
      <c r="J72" s="158" t="s">
        <v>93</v>
      </c>
      <c r="K72" s="17">
        <f>4*150</f>
        <v>600</v>
      </c>
      <c r="L72" s="10">
        <v>292</v>
      </c>
      <c r="M72" s="111" t="s">
        <v>50</v>
      </c>
      <c r="N72" s="1" t="s">
        <v>88</v>
      </c>
      <c r="O72" s="10">
        <v>99.75</v>
      </c>
      <c r="P72" s="10">
        <v>0</v>
      </c>
      <c r="Q72" s="158"/>
    </row>
    <row r="73" spans="1:17" ht="14.25" customHeight="1">
      <c r="A73" s="270" t="s">
        <v>94</v>
      </c>
      <c r="B73" s="17" t="s">
        <v>89</v>
      </c>
      <c r="C73" s="158" t="s">
        <v>104</v>
      </c>
      <c r="D73" s="109">
        <v>-47.06015627297316</v>
      </c>
      <c r="E73" s="109">
        <v>-22.907342500000002</v>
      </c>
      <c r="F73" s="17">
        <v>2005</v>
      </c>
      <c r="G73" s="19" t="s">
        <v>90</v>
      </c>
      <c r="H73" s="17" t="s">
        <v>188</v>
      </c>
      <c r="I73" s="17" t="s">
        <v>91</v>
      </c>
      <c r="J73" s="158" t="s">
        <v>93</v>
      </c>
      <c r="K73" s="17">
        <f t="shared" ref="K73:K78" si="0">4*150</f>
        <v>600</v>
      </c>
      <c r="L73" s="10">
        <v>292</v>
      </c>
      <c r="M73" s="111" t="s">
        <v>50</v>
      </c>
      <c r="N73" s="1" t="s">
        <v>88</v>
      </c>
      <c r="O73" s="158">
        <v>100</v>
      </c>
      <c r="P73" s="10">
        <v>0.5</v>
      </c>
      <c r="Q73" s="158"/>
    </row>
    <row r="74" spans="1:17" ht="14.25" customHeight="1">
      <c r="A74" s="270" t="s">
        <v>94</v>
      </c>
      <c r="B74" s="17" t="s">
        <v>89</v>
      </c>
      <c r="C74" s="158" t="s">
        <v>125</v>
      </c>
      <c r="D74" s="109">
        <v>-47.299749835960981</v>
      </c>
      <c r="E74" s="109">
        <v>-23.265442500000002</v>
      </c>
      <c r="F74" s="17">
        <v>2005</v>
      </c>
      <c r="G74" s="19" t="s">
        <v>90</v>
      </c>
      <c r="H74" s="17" t="s">
        <v>188</v>
      </c>
      <c r="I74" s="17" t="s">
        <v>91</v>
      </c>
      <c r="J74" s="158" t="s">
        <v>93</v>
      </c>
      <c r="K74" s="17">
        <f t="shared" si="0"/>
        <v>600</v>
      </c>
      <c r="L74" s="10">
        <v>292</v>
      </c>
      <c r="M74" s="111" t="s">
        <v>50</v>
      </c>
      <c r="N74" s="1" t="s">
        <v>88</v>
      </c>
      <c r="O74" s="158">
        <v>99.5</v>
      </c>
      <c r="P74" s="10">
        <v>1</v>
      </c>
      <c r="Q74" s="158"/>
    </row>
    <row r="75" spans="1:17" ht="14.25" customHeight="1">
      <c r="A75" s="270" t="s">
        <v>94</v>
      </c>
      <c r="B75" s="17" t="s">
        <v>89</v>
      </c>
      <c r="C75" s="158" t="s">
        <v>107</v>
      </c>
      <c r="D75" s="109">
        <v>-49.951645643103269</v>
      </c>
      <c r="E75" s="109">
        <v>-22.122743500000002</v>
      </c>
      <c r="F75" s="17">
        <v>2005</v>
      </c>
      <c r="G75" s="19" t="s">
        <v>90</v>
      </c>
      <c r="H75" s="17" t="s">
        <v>188</v>
      </c>
      <c r="I75" s="17" t="s">
        <v>91</v>
      </c>
      <c r="J75" s="158" t="s">
        <v>93</v>
      </c>
      <c r="K75" s="17">
        <f t="shared" si="0"/>
        <v>600</v>
      </c>
      <c r="L75" s="10">
        <v>292</v>
      </c>
      <c r="M75" s="111" t="s">
        <v>50</v>
      </c>
      <c r="N75" s="1" t="s">
        <v>88</v>
      </c>
      <c r="O75" s="158">
        <v>100</v>
      </c>
      <c r="P75" s="10">
        <v>0</v>
      </c>
      <c r="Q75" s="158"/>
    </row>
    <row r="76" spans="1:17" ht="14.25" customHeight="1">
      <c r="A76" s="270" t="s">
        <v>94</v>
      </c>
      <c r="B76" s="17" t="s">
        <v>89</v>
      </c>
      <c r="C76" s="158" t="s">
        <v>126</v>
      </c>
      <c r="D76" s="109">
        <v>-48.562140427676248</v>
      </c>
      <c r="E76" s="109">
        <v>-21.778922883855454</v>
      </c>
      <c r="F76" s="17">
        <v>2005</v>
      </c>
      <c r="G76" s="19" t="s">
        <v>90</v>
      </c>
      <c r="H76" s="17" t="s">
        <v>188</v>
      </c>
      <c r="I76" s="17" t="s">
        <v>91</v>
      </c>
      <c r="J76" s="158" t="s">
        <v>93</v>
      </c>
      <c r="K76" s="17">
        <f t="shared" si="0"/>
        <v>600</v>
      </c>
      <c r="L76" s="10">
        <v>292</v>
      </c>
      <c r="M76" s="111" t="s">
        <v>50</v>
      </c>
      <c r="N76" s="1" t="s">
        <v>88</v>
      </c>
      <c r="O76" s="158">
        <v>99.5</v>
      </c>
      <c r="P76" s="158">
        <v>0.5</v>
      </c>
      <c r="Q76" s="158"/>
    </row>
    <row r="77" spans="1:17" ht="14.25" customHeight="1">
      <c r="A77" s="270" t="s">
        <v>94</v>
      </c>
      <c r="B77" s="17" t="s">
        <v>89</v>
      </c>
      <c r="C77" s="158" t="s">
        <v>95</v>
      </c>
      <c r="D77" s="109">
        <v>-46.570383182112749</v>
      </c>
      <c r="E77" s="109">
        <v>-23.567386500000001</v>
      </c>
      <c r="F77" s="17">
        <v>2005</v>
      </c>
      <c r="G77" s="19" t="s">
        <v>90</v>
      </c>
      <c r="H77" s="17" t="s">
        <v>188</v>
      </c>
      <c r="I77" s="17" t="s">
        <v>91</v>
      </c>
      <c r="J77" s="158" t="s">
        <v>93</v>
      </c>
      <c r="K77" s="17">
        <f t="shared" si="0"/>
        <v>600</v>
      </c>
      <c r="L77" s="10">
        <v>292</v>
      </c>
      <c r="M77" s="111" t="s">
        <v>50</v>
      </c>
      <c r="N77" s="1" t="s">
        <v>88</v>
      </c>
      <c r="O77" s="158">
        <v>100</v>
      </c>
      <c r="P77" s="10">
        <v>0</v>
      </c>
      <c r="Q77" s="158"/>
    </row>
    <row r="78" spans="1:17" ht="14.25" customHeight="1">
      <c r="A78" s="270" t="s">
        <v>94</v>
      </c>
      <c r="B78" s="17" t="s">
        <v>89</v>
      </c>
      <c r="C78" s="158" t="s">
        <v>109</v>
      </c>
      <c r="D78" s="109">
        <v>-47.805475915541528</v>
      </c>
      <c r="E78" s="109">
        <v>-21.184834500000004</v>
      </c>
      <c r="F78" s="17">
        <v>2005</v>
      </c>
      <c r="G78" s="19" t="s">
        <v>90</v>
      </c>
      <c r="H78" s="17" t="s">
        <v>188</v>
      </c>
      <c r="I78" s="17" t="s">
        <v>91</v>
      </c>
      <c r="J78" s="158" t="s">
        <v>93</v>
      </c>
      <c r="K78" s="17">
        <f t="shared" si="0"/>
        <v>600</v>
      </c>
      <c r="L78" s="10">
        <v>292</v>
      </c>
      <c r="M78" s="111" t="s">
        <v>50</v>
      </c>
      <c r="N78" s="1" t="s">
        <v>88</v>
      </c>
      <c r="O78" s="158">
        <v>100</v>
      </c>
      <c r="P78" s="10">
        <v>0</v>
      </c>
      <c r="Q78" s="158"/>
    </row>
    <row r="79" spans="1:17" ht="14.25" customHeight="1">
      <c r="A79" s="270" t="s">
        <v>94</v>
      </c>
      <c r="B79" s="17" t="s">
        <v>89</v>
      </c>
      <c r="C79" s="158" t="s">
        <v>127</v>
      </c>
      <c r="D79" s="109">
        <v>-46.922092505649722</v>
      </c>
      <c r="E79" s="109">
        <v>-23.933737500000003</v>
      </c>
      <c r="F79" s="17">
        <v>2005</v>
      </c>
      <c r="G79" s="19" t="s">
        <v>90</v>
      </c>
      <c r="H79" s="17" t="s">
        <v>188</v>
      </c>
      <c r="I79" s="17" t="s">
        <v>91</v>
      </c>
      <c r="J79" s="158" t="s">
        <v>93</v>
      </c>
      <c r="K79" s="17">
        <f>4*150</f>
        <v>600</v>
      </c>
      <c r="L79" s="10">
        <v>292</v>
      </c>
      <c r="M79" s="111" t="s">
        <v>50</v>
      </c>
      <c r="N79" s="1" t="s">
        <v>88</v>
      </c>
      <c r="O79" s="158">
        <v>100</v>
      </c>
      <c r="P79" s="10">
        <v>0</v>
      </c>
      <c r="Q79" s="158"/>
    </row>
    <row r="80" spans="1:17" ht="14.25" customHeight="1">
      <c r="A80" s="270" t="s">
        <v>94</v>
      </c>
      <c r="B80" s="17" t="s">
        <v>89</v>
      </c>
      <c r="C80" s="158" t="s">
        <v>110</v>
      </c>
      <c r="D80" s="109">
        <v>-46.331370849190684</v>
      </c>
      <c r="E80" s="109">
        <v>-23.933737500000003</v>
      </c>
      <c r="F80" s="17">
        <v>2005</v>
      </c>
      <c r="G80" s="19" t="s">
        <v>90</v>
      </c>
      <c r="H80" s="17" t="s">
        <v>188</v>
      </c>
      <c r="I80" s="17" t="s">
        <v>91</v>
      </c>
      <c r="J80" s="158" t="s">
        <v>93</v>
      </c>
      <c r="K80" s="50">
        <v>750</v>
      </c>
      <c r="L80" s="10">
        <v>292</v>
      </c>
      <c r="M80" s="111" t="s">
        <v>50</v>
      </c>
      <c r="N80" s="1" t="s">
        <v>88</v>
      </c>
      <c r="O80" s="10">
        <v>98.320000000000007</v>
      </c>
      <c r="P80" s="10">
        <v>1.5959323293924452</v>
      </c>
      <c r="Q80" s="158"/>
    </row>
    <row r="81" spans="1:17" ht="14.25" customHeight="1">
      <c r="A81" s="270" t="s">
        <v>94</v>
      </c>
      <c r="B81" s="17" t="s">
        <v>89</v>
      </c>
      <c r="C81" s="158" t="s">
        <v>111</v>
      </c>
      <c r="D81" s="109">
        <v>-47.889237684691636</v>
      </c>
      <c r="E81" s="109">
        <v>-22.015998500000002</v>
      </c>
      <c r="F81" s="17">
        <v>2005</v>
      </c>
      <c r="G81" s="19" t="s">
        <v>90</v>
      </c>
      <c r="H81" s="17" t="s">
        <v>188</v>
      </c>
      <c r="I81" s="17" t="s">
        <v>91</v>
      </c>
      <c r="J81" s="158" t="s">
        <v>93</v>
      </c>
      <c r="K81" s="17">
        <v>600</v>
      </c>
      <c r="L81" s="10">
        <v>292</v>
      </c>
      <c r="M81" s="111" t="s">
        <v>50</v>
      </c>
      <c r="N81" s="1" t="s">
        <v>88</v>
      </c>
      <c r="O81" s="158">
        <v>100</v>
      </c>
      <c r="P81" s="10">
        <v>0</v>
      </c>
      <c r="Q81" s="158"/>
    </row>
    <row r="82" spans="1:17" ht="14.25" customHeight="1">
      <c r="A82" s="270" t="s">
        <v>94</v>
      </c>
      <c r="B82" s="17" t="s">
        <v>89</v>
      </c>
      <c r="C82" s="158" t="s">
        <v>112</v>
      </c>
      <c r="D82" s="109">
        <v>-49.381347685025794</v>
      </c>
      <c r="E82" s="109">
        <v>-20.812636500000004</v>
      </c>
      <c r="F82" s="17">
        <v>2005</v>
      </c>
      <c r="G82" s="19" t="s">
        <v>90</v>
      </c>
      <c r="H82" s="17" t="s">
        <v>188</v>
      </c>
      <c r="I82" s="17" t="s">
        <v>91</v>
      </c>
      <c r="J82" s="158" t="s">
        <v>93</v>
      </c>
      <c r="K82" s="80">
        <v>600</v>
      </c>
      <c r="L82" s="10">
        <v>292</v>
      </c>
      <c r="M82" s="111" t="s">
        <v>50</v>
      </c>
      <c r="N82" s="1" t="s">
        <v>88</v>
      </c>
      <c r="O82" s="158">
        <v>100</v>
      </c>
      <c r="P82" s="10">
        <v>0</v>
      </c>
      <c r="Q82" s="158"/>
    </row>
    <row r="83" spans="1:17" ht="14.25" customHeight="1">
      <c r="A83" s="270" t="s">
        <v>94</v>
      </c>
      <c r="B83" s="17" t="s">
        <v>89</v>
      </c>
      <c r="C83" s="158" t="s">
        <v>113</v>
      </c>
      <c r="D83" s="109">
        <v>-45.402680140543957</v>
      </c>
      <c r="E83" s="109">
        <v>-23.806687652148753</v>
      </c>
      <c r="F83" s="17">
        <v>2005</v>
      </c>
      <c r="G83" s="19" t="s">
        <v>90</v>
      </c>
      <c r="H83" s="17" t="s">
        <v>188</v>
      </c>
      <c r="I83" s="17" t="s">
        <v>91</v>
      </c>
      <c r="J83" s="158" t="s">
        <v>93</v>
      </c>
      <c r="K83" s="17">
        <v>600</v>
      </c>
      <c r="L83" s="10">
        <v>292</v>
      </c>
      <c r="M83" s="111" t="s">
        <v>50</v>
      </c>
      <c r="N83" s="1" t="s">
        <v>88</v>
      </c>
      <c r="O83" s="158">
        <v>100</v>
      </c>
      <c r="P83" s="10">
        <v>0</v>
      </c>
      <c r="Q83" s="158"/>
    </row>
    <row r="84" spans="1:17" ht="14.25" customHeight="1">
      <c r="A84" s="270" t="s">
        <v>94</v>
      </c>
      <c r="B84" s="17" t="s">
        <v>89</v>
      </c>
      <c r="C84" s="158" t="s">
        <v>114</v>
      </c>
      <c r="D84" s="109">
        <v>-47.457853253204043</v>
      </c>
      <c r="E84" s="109">
        <v>-23.499323</v>
      </c>
      <c r="F84" s="17">
        <v>2005</v>
      </c>
      <c r="G84" s="19" t="s">
        <v>90</v>
      </c>
      <c r="H84" s="17" t="s">
        <v>188</v>
      </c>
      <c r="I84" s="17" t="s">
        <v>91</v>
      </c>
      <c r="J84" s="158" t="s">
        <v>93</v>
      </c>
      <c r="K84" s="17">
        <v>600</v>
      </c>
      <c r="L84" s="10">
        <v>292</v>
      </c>
      <c r="M84" s="111" t="s">
        <v>50</v>
      </c>
      <c r="N84" s="1" t="s">
        <v>88</v>
      </c>
      <c r="O84" s="158">
        <v>100</v>
      </c>
      <c r="P84" s="10">
        <v>0</v>
      </c>
      <c r="Q84" s="158"/>
    </row>
    <row r="85" spans="1:17" ht="14.25" customHeight="1" thickBot="1">
      <c r="A85" s="11" t="s">
        <v>94</v>
      </c>
      <c r="B85" s="21" t="s">
        <v>89</v>
      </c>
      <c r="C85" s="21" t="s">
        <v>129</v>
      </c>
      <c r="D85" s="110">
        <v>-58.117939347991616</v>
      </c>
      <c r="E85" s="110">
        <v>-15.235682810143553</v>
      </c>
      <c r="F85" s="21">
        <v>2005</v>
      </c>
      <c r="G85" s="22" t="s">
        <v>90</v>
      </c>
      <c r="H85" s="21" t="s">
        <v>188</v>
      </c>
      <c r="I85" s="21" t="s">
        <v>91</v>
      </c>
      <c r="J85" s="11" t="s">
        <v>93</v>
      </c>
      <c r="K85" s="21">
        <v>600</v>
      </c>
      <c r="L85" s="30">
        <v>292</v>
      </c>
      <c r="M85" s="114" t="s">
        <v>50</v>
      </c>
      <c r="N85" s="49" t="s">
        <v>88</v>
      </c>
      <c r="O85" s="11">
        <v>100</v>
      </c>
      <c r="P85" s="30">
        <v>0</v>
      </c>
      <c r="Q85" s="158"/>
    </row>
    <row r="86" spans="1:17" ht="14.25" customHeight="1">
      <c r="G86" s="17"/>
      <c r="H86" s="17"/>
    </row>
    <row r="87" spans="1:17" ht="14.25" customHeight="1">
      <c r="C87" s="2"/>
      <c r="D87" s="2"/>
      <c r="E87" s="2"/>
    </row>
    <row r="88" spans="1:17" ht="14.25" customHeight="1">
      <c r="C88" s="2"/>
      <c r="D88" s="2"/>
      <c r="E88" s="2"/>
    </row>
    <row r="89" spans="1:17" ht="14.25" customHeight="1">
      <c r="C89" s="2"/>
      <c r="D89" s="2"/>
      <c r="E89" s="2"/>
    </row>
    <row r="90" spans="1:17" ht="14.25" customHeight="1">
      <c r="C90" s="2"/>
      <c r="D90" s="2"/>
      <c r="E90" s="2"/>
    </row>
    <row r="91" spans="1:17" ht="14.25" customHeight="1">
      <c r="C91" s="2"/>
      <c r="D91" s="2"/>
      <c r="E91" s="2"/>
    </row>
    <row r="92" spans="1:17" ht="14.25" customHeight="1">
      <c r="C92" s="2"/>
      <c r="D92" s="2"/>
      <c r="E92" s="2"/>
    </row>
    <row r="93" spans="1:17" ht="14.25" customHeight="1">
      <c r="C93" s="2"/>
      <c r="D93" s="2"/>
      <c r="E93" s="2"/>
    </row>
    <row r="94" spans="1:17" ht="14.25" customHeight="1">
      <c r="C94" s="2"/>
      <c r="D94" s="2"/>
      <c r="E94" s="2"/>
    </row>
    <row r="95" spans="1:17" ht="14.25" customHeight="1">
      <c r="C95" s="2"/>
      <c r="D95" s="2"/>
      <c r="E95" s="2"/>
    </row>
    <row r="96" spans="1:17" ht="14.25" customHeight="1">
      <c r="C96" s="2"/>
      <c r="D96" s="2"/>
      <c r="E96" s="2"/>
    </row>
    <row r="97" spans="3:5" ht="14.25" customHeight="1">
      <c r="C97" s="2"/>
      <c r="D97" s="2"/>
      <c r="E97" s="2"/>
    </row>
    <row r="98" spans="3:5" ht="14.25" customHeight="1">
      <c r="C98" s="2"/>
      <c r="D98" s="2"/>
      <c r="E98" s="2"/>
    </row>
    <row r="99" spans="3:5" ht="14.25" customHeight="1">
      <c r="C99" s="2"/>
      <c r="D99" s="2"/>
      <c r="E99" s="2"/>
    </row>
    <row r="100" spans="3:5" ht="14.25" customHeight="1">
      <c r="C100" s="2"/>
      <c r="D100" s="2"/>
      <c r="E100" s="2"/>
    </row>
    <row r="101" spans="3:5" ht="14.25" customHeight="1">
      <c r="C101" s="2"/>
      <c r="D101" s="2"/>
      <c r="E101" s="2"/>
    </row>
    <row r="102" spans="3:5" ht="14.25" customHeight="1">
      <c r="C102" s="2"/>
      <c r="D102" s="2"/>
      <c r="E102" s="2"/>
    </row>
    <row r="103" spans="3:5" ht="14.25" customHeight="1">
      <c r="C103" s="2"/>
      <c r="D103" s="2"/>
      <c r="E103" s="2"/>
    </row>
    <row r="104" spans="3:5" ht="14.25" customHeight="1">
      <c r="C104" s="2"/>
      <c r="D104" s="2"/>
      <c r="E104" s="2"/>
    </row>
    <row r="105" spans="3:5" ht="14.25" customHeight="1">
      <c r="C105" s="2"/>
    </row>
  </sheetData>
  <sheetCalcPr fullCalcOnLoad="1"/>
  <phoneticPr fontId="48" type="noConversion"/>
  <conditionalFormatting sqref="O50:O52 O37:O48">
    <cfRule type="cellIs" dxfId="185" priority="61" stopIfTrue="1" operator="between">
      <formula>0</formula>
      <formula>79.9</formula>
    </cfRule>
    <cfRule type="cellIs" dxfId="184" priority="62" stopIfTrue="1" operator="between">
      <formula>80</formula>
      <formula>97.9</formula>
    </cfRule>
    <cfRule type="cellIs" dxfId="183" priority="63" stopIfTrue="1" operator="between">
      <formula>98</formula>
      <formula>100</formula>
    </cfRule>
  </conditionalFormatting>
  <conditionalFormatting sqref="D3:D4">
    <cfRule type="cellIs" dxfId="182" priority="13" stopIfTrue="1" operator="between">
      <formula>0</formula>
      <formula>79.9</formula>
    </cfRule>
    <cfRule type="cellIs" dxfId="181" priority="14" stopIfTrue="1" operator="between">
      <formula>80</formula>
      <formula>97.9</formula>
    </cfRule>
    <cfRule type="cellIs" dxfId="180" priority="15" stopIfTrue="1" operator="between">
      <formula>98</formula>
      <formula>100</formula>
    </cfRule>
  </conditionalFormatting>
  <conditionalFormatting sqref="D20:D21">
    <cfRule type="cellIs" dxfId="179" priority="10" stopIfTrue="1" operator="between">
      <formula>0</formula>
      <formula>79.9</formula>
    </cfRule>
    <cfRule type="cellIs" dxfId="178" priority="11" stopIfTrue="1" operator="between">
      <formula>80</formula>
      <formula>97.9</formula>
    </cfRule>
    <cfRule type="cellIs" dxfId="177" priority="12" stopIfTrue="1" operator="between">
      <formula>98</formula>
      <formula>100</formula>
    </cfRule>
  </conditionalFormatting>
  <conditionalFormatting sqref="D37:D38">
    <cfRule type="cellIs" dxfId="176" priority="7" stopIfTrue="1" operator="between">
      <formula>0</formula>
      <formula>79.9</formula>
    </cfRule>
    <cfRule type="cellIs" dxfId="175" priority="8" stopIfTrue="1" operator="between">
      <formula>80</formula>
      <formula>97.9</formula>
    </cfRule>
    <cfRule type="cellIs" dxfId="174" priority="9" stopIfTrue="1" operator="between">
      <formula>98</formula>
      <formula>100</formula>
    </cfRule>
  </conditionalFormatting>
  <conditionalFormatting sqref="D54:D55">
    <cfRule type="cellIs" dxfId="173" priority="4" stopIfTrue="1" operator="between">
      <formula>0</formula>
      <formula>79.9</formula>
    </cfRule>
    <cfRule type="cellIs" dxfId="172" priority="5" stopIfTrue="1" operator="between">
      <formula>80</formula>
      <formula>97.9</formula>
    </cfRule>
    <cfRule type="cellIs" dxfId="171" priority="6" stopIfTrue="1" operator="between">
      <formula>98</formula>
      <formula>100</formula>
    </cfRule>
  </conditionalFormatting>
  <conditionalFormatting sqref="D71:D72">
    <cfRule type="cellIs" dxfId="170" priority="1" stopIfTrue="1" operator="between">
      <formula>0</formula>
      <formula>79.9</formula>
    </cfRule>
    <cfRule type="cellIs" dxfId="169" priority="2" stopIfTrue="1" operator="between">
      <formula>80</formula>
      <formula>97.9</formula>
    </cfRule>
    <cfRule type="cellIs" dxfId="168" priority="3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dimension ref="A1:S182"/>
  <sheetViews>
    <sheetView workbookViewId="0">
      <selection activeCell="K131" sqref="K131"/>
    </sheetView>
  </sheetViews>
  <sheetFormatPr baseColWidth="10" defaultColWidth="8.83203125" defaultRowHeight="14.25" customHeight="1"/>
  <cols>
    <col min="1" max="1" width="17.83203125" style="18" bestFit="1" customWidth="1"/>
    <col min="2" max="2" width="7" style="18" bestFit="1" customWidth="1"/>
    <col min="3" max="3" width="20" style="18" customWidth="1"/>
    <col min="4" max="4" width="20.6640625" style="18" customWidth="1"/>
    <col min="5" max="5" width="15.1640625" style="18" customWidth="1"/>
    <col min="6" max="7" width="12.6640625" style="18" customWidth="1"/>
    <col min="8" max="8" width="15.5" style="18" customWidth="1"/>
    <col min="9" max="9" width="17.5" style="18" customWidth="1"/>
    <col min="10" max="10" width="10.83203125" style="18" customWidth="1"/>
    <col min="11" max="11" width="13.5" style="18" bestFit="1" customWidth="1"/>
    <col min="12" max="12" width="12" style="18" customWidth="1"/>
    <col min="13" max="13" width="9.33203125" style="18" bestFit="1" customWidth="1"/>
    <col min="14" max="14" width="7.6640625" style="18" bestFit="1" customWidth="1"/>
    <col min="15" max="15" width="14.1640625" style="18" customWidth="1"/>
    <col min="16" max="16" width="14.5" style="18" bestFit="1" customWidth="1"/>
    <col min="17" max="17" width="8.1640625" style="18" customWidth="1"/>
    <col min="18" max="18" width="9.5" style="18" customWidth="1"/>
    <col min="19" max="19" width="8.83203125" style="18" customWidth="1"/>
    <col min="20" max="16384" width="8.83203125" style="16"/>
  </cols>
  <sheetData>
    <row r="1" spans="1:19" s="18" customFormat="1" ht="14.25" customHeight="1" thickBot="1">
      <c r="A1" s="21" t="s">
        <v>69</v>
      </c>
      <c r="B1" s="21" t="s">
        <v>70</v>
      </c>
      <c r="C1" s="21" t="s">
        <v>71</v>
      </c>
      <c r="D1" s="91" t="s">
        <v>190</v>
      </c>
      <c r="E1" s="91" t="s">
        <v>24</v>
      </c>
      <c r="F1" s="21" t="s">
        <v>72</v>
      </c>
      <c r="G1" s="21" t="s">
        <v>73</v>
      </c>
      <c r="H1" s="21" t="s">
        <v>74</v>
      </c>
      <c r="I1" s="21" t="s">
        <v>75</v>
      </c>
      <c r="J1" s="21" t="s">
        <v>76</v>
      </c>
      <c r="K1" s="21" t="s">
        <v>77</v>
      </c>
      <c r="L1" s="11" t="s">
        <v>78</v>
      </c>
      <c r="M1" s="11" t="s">
        <v>79</v>
      </c>
      <c r="N1" s="11" t="s">
        <v>82</v>
      </c>
      <c r="O1" s="11" t="s">
        <v>83</v>
      </c>
      <c r="P1" s="11" t="s">
        <v>84</v>
      </c>
      <c r="Q1" s="90" t="s">
        <v>85</v>
      </c>
      <c r="R1" s="90" t="s">
        <v>86</v>
      </c>
      <c r="S1" s="90" t="s">
        <v>87</v>
      </c>
    </row>
    <row r="2" spans="1:19" s="18" customFormat="1" ht="14.25" customHeight="1">
      <c r="A2" s="270" t="s">
        <v>94</v>
      </c>
      <c r="B2" s="17" t="s">
        <v>89</v>
      </c>
      <c r="C2" s="20" t="s">
        <v>124</v>
      </c>
      <c r="D2" s="261"/>
      <c r="E2" s="262"/>
      <c r="F2" s="18">
        <v>2006</v>
      </c>
      <c r="G2" s="19" t="s">
        <v>90</v>
      </c>
      <c r="H2" s="18" t="s">
        <v>177</v>
      </c>
      <c r="I2" s="17" t="s">
        <v>91</v>
      </c>
      <c r="J2" s="18" t="s">
        <v>81</v>
      </c>
      <c r="K2" s="18">
        <v>1200</v>
      </c>
      <c r="L2" s="18">
        <v>1.2E-2</v>
      </c>
      <c r="M2" s="18" t="s">
        <v>80</v>
      </c>
      <c r="N2" s="18" t="s">
        <v>88</v>
      </c>
      <c r="O2" s="158">
        <v>100</v>
      </c>
      <c r="P2" s="3">
        <v>4.0000000000000018E-4</v>
      </c>
      <c r="Q2" s="4">
        <v>3.3999999999999998E-3</v>
      </c>
      <c r="R2" s="4">
        <v>5.8999999999999999E-3</v>
      </c>
      <c r="S2" s="4">
        <v>7.4000000000000003E-3</v>
      </c>
    </row>
    <row r="3" spans="1:19" ht="14.25" customHeight="1">
      <c r="A3" s="270" t="s">
        <v>94</v>
      </c>
      <c r="B3" s="17" t="s">
        <v>89</v>
      </c>
      <c r="C3" s="158" t="s">
        <v>100</v>
      </c>
      <c r="D3" s="109">
        <v>-50.439226072752597</v>
      </c>
      <c r="E3" s="109">
        <v>-21.205476000000004</v>
      </c>
      <c r="F3" s="18">
        <v>2006</v>
      </c>
      <c r="G3" s="19" t="s">
        <v>90</v>
      </c>
      <c r="H3" s="18" t="s">
        <v>177</v>
      </c>
      <c r="I3" s="17" t="s">
        <v>91</v>
      </c>
      <c r="J3" s="18" t="s">
        <v>81</v>
      </c>
      <c r="K3" s="158">
        <v>2700</v>
      </c>
      <c r="L3" s="18">
        <v>1.2E-2</v>
      </c>
      <c r="M3" s="18" t="s">
        <v>80</v>
      </c>
      <c r="N3" s="18" t="s">
        <v>88</v>
      </c>
      <c r="O3" s="10">
        <v>78.867777777777789</v>
      </c>
      <c r="P3" s="3">
        <v>1.6000000000000007E-3</v>
      </c>
      <c r="Q3" s="4">
        <v>1.145E-2</v>
      </c>
      <c r="R3" s="4">
        <v>2.06E-2</v>
      </c>
      <c r="S3" s="4">
        <v>2.6329999999999999E-2</v>
      </c>
    </row>
    <row r="4" spans="1:19" ht="14.25" customHeight="1">
      <c r="A4" s="270" t="s">
        <v>94</v>
      </c>
      <c r="B4" s="17" t="s">
        <v>89</v>
      </c>
      <c r="C4" s="158" t="s">
        <v>101</v>
      </c>
      <c r="D4" s="109">
        <v>-48.567377839455055</v>
      </c>
      <c r="E4" s="109">
        <v>-20.558455515000002</v>
      </c>
      <c r="F4" s="18">
        <v>2006</v>
      </c>
      <c r="G4" s="19" t="s">
        <v>90</v>
      </c>
      <c r="H4" s="18" t="s">
        <v>177</v>
      </c>
      <c r="I4" s="17" t="s">
        <v>91</v>
      </c>
      <c r="J4" s="18" t="s">
        <v>81</v>
      </c>
      <c r="K4" s="158">
        <v>3000</v>
      </c>
      <c r="L4" s="18">
        <v>1.2E-2</v>
      </c>
      <c r="M4" s="18" t="s">
        <v>80</v>
      </c>
      <c r="N4" s="18" t="s">
        <v>88</v>
      </c>
      <c r="O4" s="10">
        <v>77.95</v>
      </c>
      <c r="P4" s="3">
        <v>1.9999999999999983E-3</v>
      </c>
      <c r="Q4" s="4">
        <v>1.2999999999999999E-2</v>
      </c>
      <c r="R4" s="4">
        <v>2.3E-2</v>
      </c>
      <c r="S4" s="4">
        <v>0.03</v>
      </c>
    </row>
    <row r="5" spans="1:19" ht="14.25" customHeight="1">
      <c r="A5" s="270" t="s">
        <v>94</v>
      </c>
      <c r="B5" s="17" t="s">
        <v>89</v>
      </c>
      <c r="C5" s="158" t="s">
        <v>102</v>
      </c>
      <c r="D5" s="109">
        <v>-49.083000867090362</v>
      </c>
      <c r="E5" s="109">
        <v>-22.325122500000006</v>
      </c>
      <c r="F5" s="18">
        <v>2006</v>
      </c>
      <c r="G5" s="19" t="s">
        <v>90</v>
      </c>
      <c r="H5" s="18" t="s">
        <v>177</v>
      </c>
      <c r="I5" s="17" t="s">
        <v>91</v>
      </c>
      <c r="J5" s="18" t="s">
        <v>81</v>
      </c>
      <c r="K5" s="158">
        <v>3000</v>
      </c>
      <c r="L5" s="18">
        <v>1.2E-2</v>
      </c>
      <c r="M5" s="18" t="s">
        <v>80</v>
      </c>
      <c r="N5" s="18" t="s">
        <v>88</v>
      </c>
      <c r="O5" s="10">
        <v>95.66</v>
      </c>
      <c r="P5" s="3">
        <v>2E-3</v>
      </c>
      <c r="Q5" s="4">
        <v>8.9999999999999993E-3</v>
      </c>
      <c r="R5" s="4">
        <v>1.6E-2</v>
      </c>
      <c r="S5" s="4">
        <v>0.02</v>
      </c>
    </row>
    <row r="6" spans="1:19" ht="14.25" customHeight="1">
      <c r="A6" s="270" t="s">
        <v>94</v>
      </c>
      <c r="B6" s="17" t="s">
        <v>89</v>
      </c>
      <c r="C6" s="158" t="s">
        <v>103</v>
      </c>
      <c r="D6" s="109">
        <v>-48.441289384350434</v>
      </c>
      <c r="E6" s="109">
        <v>-22.888381500000008</v>
      </c>
      <c r="F6" s="18">
        <v>2006</v>
      </c>
      <c r="G6" s="19" t="s">
        <v>90</v>
      </c>
      <c r="H6" s="18" t="s">
        <v>177</v>
      </c>
      <c r="I6" s="17" t="s">
        <v>91</v>
      </c>
      <c r="J6" s="18" t="s">
        <v>81</v>
      </c>
      <c r="K6" s="158">
        <v>1500</v>
      </c>
      <c r="L6" s="18">
        <v>1.2E-2</v>
      </c>
      <c r="M6" s="18" t="s">
        <v>80</v>
      </c>
      <c r="N6" s="18" t="s">
        <v>88</v>
      </c>
      <c r="O6" s="10">
        <v>97.76</v>
      </c>
      <c r="P6" s="3">
        <v>9.9999999999999915E-4</v>
      </c>
      <c r="Q6" s="4">
        <v>7.3000000000000001E-3</v>
      </c>
      <c r="R6" s="4">
        <v>1.2999999999999999E-2</v>
      </c>
      <c r="S6" s="4">
        <v>1.6E-2</v>
      </c>
    </row>
    <row r="7" spans="1:19" ht="14.25" customHeight="1">
      <c r="A7" s="270" t="s">
        <v>94</v>
      </c>
      <c r="B7" s="17" t="s">
        <v>89</v>
      </c>
      <c r="C7" s="158" t="s">
        <v>106</v>
      </c>
      <c r="D7" s="109">
        <v>-46.933372863488053</v>
      </c>
      <c r="E7" s="109">
        <v>-23.546934000000004</v>
      </c>
      <c r="F7" s="18">
        <v>2006</v>
      </c>
      <c r="G7" s="19" t="s">
        <v>90</v>
      </c>
      <c r="H7" s="18" t="s">
        <v>177</v>
      </c>
      <c r="I7" s="17" t="s">
        <v>91</v>
      </c>
      <c r="J7" s="18" t="s">
        <v>81</v>
      </c>
      <c r="K7" s="158">
        <v>1800</v>
      </c>
      <c r="L7" s="18">
        <v>1.2E-2</v>
      </c>
      <c r="M7" s="18" t="s">
        <v>80</v>
      </c>
      <c r="N7" s="18" t="s">
        <v>88</v>
      </c>
      <c r="O7" s="10">
        <v>77.900000000000006</v>
      </c>
      <c r="P7" s="3">
        <v>1.9999999999999983E-3</v>
      </c>
      <c r="Q7" s="4">
        <v>1.2999999999999999E-2</v>
      </c>
      <c r="R7" s="4">
        <v>2.7E-2</v>
      </c>
      <c r="S7" s="4">
        <v>3.6999999999999998E-2</v>
      </c>
    </row>
    <row r="8" spans="1:19" ht="14.25" customHeight="1">
      <c r="A8" s="270" t="s">
        <v>94</v>
      </c>
      <c r="B8" s="17" t="s">
        <v>89</v>
      </c>
      <c r="C8" s="158" t="s">
        <v>130</v>
      </c>
      <c r="D8" s="109">
        <v>-46.905221141741073</v>
      </c>
      <c r="E8" s="109">
        <v>-23.529939000000002</v>
      </c>
      <c r="F8" s="18">
        <v>2006</v>
      </c>
      <c r="G8" s="19" t="s">
        <v>90</v>
      </c>
      <c r="H8" s="18" t="s">
        <v>177</v>
      </c>
      <c r="I8" s="17" t="s">
        <v>91</v>
      </c>
      <c r="J8" s="18" t="s">
        <v>81</v>
      </c>
      <c r="K8" s="158">
        <v>1800</v>
      </c>
      <c r="L8" s="18">
        <v>1.2E-2</v>
      </c>
      <c r="M8" s="18" t="s">
        <v>80</v>
      </c>
      <c r="N8" s="18" t="s">
        <v>88</v>
      </c>
      <c r="O8" s="10">
        <v>73.666666666666671</v>
      </c>
      <c r="P8" s="3">
        <v>2.9999999999999992E-3</v>
      </c>
      <c r="Q8" s="4">
        <v>1.2E-2</v>
      </c>
      <c r="R8" s="4">
        <v>2.5999999999999999E-2</v>
      </c>
      <c r="S8" s="4">
        <v>3.5999999999999997E-2</v>
      </c>
    </row>
    <row r="9" spans="1:19" ht="14.25" customHeight="1">
      <c r="A9" s="270" t="s">
        <v>94</v>
      </c>
      <c r="B9" s="17" t="s">
        <v>89</v>
      </c>
      <c r="C9" s="158" t="s">
        <v>108</v>
      </c>
      <c r="D9" s="109">
        <v>-51.386765581912492</v>
      </c>
      <c r="E9" s="109">
        <v>-24.494251427999906</v>
      </c>
      <c r="F9" s="18">
        <v>2006</v>
      </c>
      <c r="G9" s="19" t="s">
        <v>90</v>
      </c>
      <c r="H9" s="18" t="s">
        <v>177</v>
      </c>
      <c r="I9" s="17" t="s">
        <v>91</v>
      </c>
      <c r="J9" s="18" t="s">
        <v>81</v>
      </c>
      <c r="K9" s="158">
        <v>3300</v>
      </c>
      <c r="L9" s="18">
        <v>1.2E-2</v>
      </c>
      <c r="M9" s="18" t="s">
        <v>80</v>
      </c>
      <c r="N9" s="18" t="s">
        <v>88</v>
      </c>
      <c r="O9" s="10">
        <v>92.36363636363636</v>
      </c>
      <c r="P9" s="3">
        <v>9.9999999999999915E-4</v>
      </c>
      <c r="Q9" s="4">
        <v>7.7999999999999996E-3</v>
      </c>
      <c r="R9" s="4">
        <v>1.4999999999999999E-2</v>
      </c>
      <c r="S9" s="4">
        <v>0.02</v>
      </c>
    </row>
    <row r="10" spans="1:19" ht="14.25" customHeight="1">
      <c r="A10" s="270" t="s">
        <v>94</v>
      </c>
      <c r="B10" s="17" t="s">
        <v>89</v>
      </c>
      <c r="C10" s="158" t="s">
        <v>109</v>
      </c>
      <c r="D10" s="109">
        <v>-47.805475915541528</v>
      </c>
      <c r="E10" s="109">
        <v>-21.184834500000004</v>
      </c>
      <c r="F10" s="18">
        <v>2006</v>
      </c>
      <c r="G10" s="19" t="s">
        <v>90</v>
      </c>
      <c r="H10" s="18" t="s">
        <v>177</v>
      </c>
      <c r="I10" s="17" t="s">
        <v>91</v>
      </c>
      <c r="J10" s="18" t="s">
        <v>81</v>
      </c>
      <c r="K10" s="158">
        <v>1200</v>
      </c>
      <c r="L10" s="18">
        <v>1.2E-2</v>
      </c>
      <c r="M10" s="18" t="s">
        <v>80</v>
      </c>
      <c r="N10" s="18" t="s">
        <v>88</v>
      </c>
      <c r="O10" s="10">
        <v>76.375</v>
      </c>
      <c r="P10" s="3">
        <v>0</v>
      </c>
      <c r="Q10" s="4">
        <v>1.4E-2</v>
      </c>
      <c r="R10" s="4">
        <v>0.02</v>
      </c>
      <c r="S10" s="4">
        <v>2.4E-2</v>
      </c>
    </row>
    <row r="11" spans="1:19" ht="14.25" customHeight="1">
      <c r="A11" s="270" t="s">
        <v>94</v>
      </c>
      <c r="B11" s="17" t="s">
        <v>89</v>
      </c>
      <c r="C11" s="158" t="s">
        <v>110</v>
      </c>
      <c r="D11" s="109">
        <v>-46.331370849190684</v>
      </c>
      <c r="E11" s="109">
        <v>-23.933737500000003</v>
      </c>
      <c r="F11" s="18">
        <v>2006</v>
      </c>
      <c r="G11" s="19" t="s">
        <v>90</v>
      </c>
      <c r="H11" s="18" t="s">
        <v>177</v>
      </c>
      <c r="I11" s="17" t="s">
        <v>91</v>
      </c>
      <c r="J11" s="18" t="s">
        <v>81</v>
      </c>
      <c r="K11" s="158">
        <v>1500</v>
      </c>
      <c r="L11" s="18">
        <v>1.2E-2</v>
      </c>
      <c r="M11" s="18" t="s">
        <v>80</v>
      </c>
      <c r="N11" s="18" t="s">
        <v>88</v>
      </c>
      <c r="O11" s="10">
        <v>53.839999999999996</v>
      </c>
      <c r="P11" s="3">
        <v>4.9999999999999975E-3</v>
      </c>
      <c r="Q11" s="4">
        <v>1.6E-2</v>
      </c>
      <c r="R11" s="4">
        <v>0.04</v>
      </c>
      <c r="S11" s="4">
        <v>0.06</v>
      </c>
    </row>
    <row r="12" spans="1:19" ht="14.25" customHeight="1">
      <c r="A12" s="270" t="s">
        <v>94</v>
      </c>
      <c r="B12" s="17" t="s">
        <v>89</v>
      </c>
      <c r="C12" s="158" t="s">
        <v>111</v>
      </c>
      <c r="D12" s="109">
        <v>-47.889237684691636</v>
      </c>
      <c r="E12" s="109">
        <v>-22.015998500000002</v>
      </c>
      <c r="F12" s="18">
        <v>2006</v>
      </c>
      <c r="G12" s="19" t="s">
        <v>90</v>
      </c>
      <c r="H12" s="18" t="s">
        <v>177</v>
      </c>
      <c r="I12" s="17" t="s">
        <v>91</v>
      </c>
      <c r="J12" s="18" t="s">
        <v>81</v>
      </c>
      <c r="K12" s="158">
        <v>1500</v>
      </c>
      <c r="L12" s="18">
        <v>1.2E-2</v>
      </c>
      <c r="M12" s="18" t="s">
        <v>80</v>
      </c>
      <c r="N12" s="18" t="s">
        <v>88</v>
      </c>
      <c r="O12" s="10">
        <v>97.224999999999994</v>
      </c>
      <c r="P12" s="3">
        <v>1.0000000000000009E-3</v>
      </c>
      <c r="Q12" s="4">
        <v>7.0000000000000001E-3</v>
      </c>
      <c r="R12" s="4">
        <v>1.6E-2</v>
      </c>
      <c r="S12" s="4">
        <v>2.3E-2</v>
      </c>
    </row>
    <row r="13" spans="1:19" ht="14.25" customHeight="1">
      <c r="A13" s="270" t="s">
        <v>94</v>
      </c>
      <c r="B13" s="17" t="s">
        <v>89</v>
      </c>
      <c r="C13" s="158" t="s">
        <v>131</v>
      </c>
      <c r="D13" s="109">
        <v>-49.381347685025794</v>
      </c>
      <c r="E13" s="109">
        <v>-20.812636500000004</v>
      </c>
      <c r="F13" s="18">
        <v>2006</v>
      </c>
      <c r="G13" s="19" t="s">
        <v>90</v>
      </c>
      <c r="H13" s="18" t="s">
        <v>177</v>
      </c>
      <c r="I13" s="17" t="s">
        <v>91</v>
      </c>
      <c r="J13" s="18" t="s">
        <v>81</v>
      </c>
      <c r="K13" s="158">
        <v>1800</v>
      </c>
      <c r="L13" s="18">
        <v>1.2E-2</v>
      </c>
      <c r="M13" s="18" t="s">
        <v>80</v>
      </c>
      <c r="N13" s="18" t="s">
        <v>88</v>
      </c>
      <c r="O13" s="10">
        <v>67.75</v>
      </c>
      <c r="P13" s="3">
        <v>2.9999999999999992E-3</v>
      </c>
      <c r="Q13" s="4">
        <v>1.4E-2</v>
      </c>
      <c r="R13" s="4">
        <v>0.03</v>
      </c>
      <c r="S13" s="4">
        <v>0.04</v>
      </c>
    </row>
    <row r="14" spans="1:19" ht="14.25" customHeight="1">
      <c r="A14" s="270" t="s">
        <v>94</v>
      </c>
      <c r="B14" s="17" t="s">
        <v>89</v>
      </c>
      <c r="C14" s="158" t="s">
        <v>113</v>
      </c>
      <c r="D14" s="109">
        <v>-45.402680140543957</v>
      </c>
      <c r="E14" s="109">
        <v>-23.806687652148753</v>
      </c>
      <c r="F14" s="18">
        <v>2006</v>
      </c>
      <c r="G14" s="19" t="s">
        <v>90</v>
      </c>
      <c r="H14" s="18" t="s">
        <v>177</v>
      </c>
      <c r="I14" s="17" t="s">
        <v>91</v>
      </c>
      <c r="J14" s="18" t="s">
        <v>81</v>
      </c>
      <c r="K14" s="158">
        <v>1500</v>
      </c>
      <c r="L14" s="18">
        <v>1.2E-2</v>
      </c>
      <c r="M14" s="18" t="s">
        <v>80</v>
      </c>
      <c r="N14" s="18" t="s">
        <v>88</v>
      </c>
      <c r="O14" s="10">
        <v>45.9</v>
      </c>
      <c r="P14" s="3">
        <v>1.3999999999999985E-3</v>
      </c>
      <c r="Q14" s="4">
        <v>1.6799999999999999E-2</v>
      </c>
      <c r="R14" s="4">
        <v>2.6499999999999999E-2</v>
      </c>
      <c r="S14" s="4">
        <v>3.2000000000000001E-2</v>
      </c>
    </row>
    <row r="15" spans="1:19" ht="14.25" customHeight="1">
      <c r="A15" s="270" t="s">
        <v>94</v>
      </c>
      <c r="B15" s="17" t="s">
        <v>89</v>
      </c>
      <c r="C15" s="17" t="s">
        <v>13</v>
      </c>
      <c r="D15" s="109">
        <v>-38.589927555043182</v>
      </c>
      <c r="E15" s="109">
        <v>-3.7238050350000007</v>
      </c>
      <c r="F15" s="18">
        <v>2006</v>
      </c>
      <c r="G15" s="19" t="s">
        <v>90</v>
      </c>
      <c r="H15" s="18" t="s">
        <v>177</v>
      </c>
      <c r="I15" s="17" t="s">
        <v>91</v>
      </c>
      <c r="J15" s="18" t="s">
        <v>81</v>
      </c>
      <c r="K15" s="158">
        <v>900</v>
      </c>
      <c r="L15" s="18">
        <v>1.2E-2</v>
      </c>
      <c r="M15" s="18" t="s">
        <v>80</v>
      </c>
      <c r="N15" s="18" t="s">
        <v>88</v>
      </c>
      <c r="O15" s="10">
        <v>5.3</v>
      </c>
      <c r="P15" s="3">
        <v>2.0000000000000018E-3</v>
      </c>
      <c r="Q15" s="4">
        <v>0.04</v>
      </c>
      <c r="R15" s="4">
        <v>5.7000000000000002E-2</v>
      </c>
      <c r="S15" s="4">
        <v>6.6000000000000003E-2</v>
      </c>
    </row>
    <row r="16" spans="1:19" ht="14.25" customHeight="1">
      <c r="A16" s="270" t="s">
        <v>94</v>
      </c>
      <c r="B16" s="17" t="s">
        <v>89</v>
      </c>
      <c r="C16" s="17" t="s">
        <v>136</v>
      </c>
      <c r="D16" s="109">
        <v>-48.208705251855818</v>
      </c>
      <c r="E16" s="109">
        <v>-7.191328939654956</v>
      </c>
      <c r="F16" s="18">
        <v>2006</v>
      </c>
      <c r="G16" s="19" t="s">
        <v>90</v>
      </c>
      <c r="H16" s="18" t="s">
        <v>177</v>
      </c>
      <c r="I16" s="17" t="s">
        <v>91</v>
      </c>
      <c r="J16" s="18" t="s">
        <v>81</v>
      </c>
      <c r="K16" s="158">
        <v>2100</v>
      </c>
      <c r="L16" s="18">
        <v>1.2E-2</v>
      </c>
      <c r="M16" s="18" t="s">
        <v>80</v>
      </c>
      <c r="N16" s="18" t="s">
        <v>88</v>
      </c>
      <c r="O16" s="10">
        <v>14.357142857142858</v>
      </c>
      <c r="P16" s="3">
        <v>1.0000000000000009E-3</v>
      </c>
      <c r="Q16" s="4">
        <v>3.9E-2</v>
      </c>
      <c r="R16" s="4">
        <v>5.1999999999999998E-2</v>
      </c>
      <c r="S16" s="4">
        <v>5.8000000000000003E-2</v>
      </c>
    </row>
    <row r="17" spans="1:19" ht="14.25" customHeight="1">
      <c r="A17" s="270" t="s">
        <v>94</v>
      </c>
      <c r="B17" s="17" t="s">
        <v>89</v>
      </c>
      <c r="C17" s="17" t="s">
        <v>28</v>
      </c>
      <c r="D17" s="155">
        <v>-38.589927555043182</v>
      </c>
      <c r="E17" s="155">
        <v>-3.7238050350000007</v>
      </c>
      <c r="F17" s="18">
        <v>2006</v>
      </c>
      <c r="G17" s="19" t="s">
        <v>90</v>
      </c>
      <c r="H17" s="18" t="s">
        <v>177</v>
      </c>
      <c r="I17" s="17" t="s">
        <v>91</v>
      </c>
      <c r="J17" s="18" t="s">
        <v>81</v>
      </c>
      <c r="K17" s="158">
        <v>900</v>
      </c>
      <c r="L17" s="18">
        <v>1.2E-2</v>
      </c>
      <c r="M17" s="18" t="s">
        <v>80</v>
      </c>
      <c r="N17" s="18" t="s">
        <v>88</v>
      </c>
      <c r="O17" s="10">
        <v>12.433333333333332</v>
      </c>
      <c r="P17" s="3">
        <v>9.9999999999999395E-4</v>
      </c>
      <c r="Q17" s="4">
        <v>3.6999999999999998E-2</v>
      </c>
      <c r="R17" s="4">
        <v>5.0999999999999997E-2</v>
      </c>
      <c r="S17" s="4">
        <v>5.8999999999999997E-2</v>
      </c>
    </row>
    <row r="18" spans="1:19" ht="14.25" customHeight="1">
      <c r="A18" s="270" t="s">
        <v>94</v>
      </c>
      <c r="B18" s="17" t="s">
        <v>89</v>
      </c>
      <c r="C18" s="17" t="s">
        <v>146</v>
      </c>
      <c r="D18" s="155">
        <v>-54.5871024886046</v>
      </c>
      <c r="E18" s="155">
        <v>-25.542493279529253</v>
      </c>
      <c r="F18" s="18">
        <v>2006</v>
      </c>
      <c r="G18" s="19" t="s">
        <v>90</v>
      </c>
      <c r="H18" s="18" t="s">
        <v>177</v>
      </c>
      <c r="I18" s="17" t="s">
        <v>91</v>
      </c>
      <c r="J18" s="18" t="s">
        <v>81</v>
      </c>
      <c r="K18" s="158">
        <v>2100</v>
      </c>
      <c r="L18" s="17">
        <v>1.2E-2</v>
      </c>
      <c r="M18" s="17" t="s">
        <v>80</v>
      </c>
      <c r="N18" s="17" t="s">
        <v>88</v>
      </c>
      <c r="O18" s="10">
        <v>90.585714285714289</v>
      </c>
      <c r="P18" s="3">
        <v>1.3899999999999989E-3</v>
      </c>
      <c r="Q18" s="4">
        <v>9.3500000000000007E-3</v>
      </c>
      <c r="R18" s="4">
        <v>1.839E-2</v>
      </c>
      <c r="S18" s="4">
        <v>2.4340000000000001E-2</v>
      </c>
    </row>
    <row r="19" spans="1:19" ht="14.25" customHeight="1">
      <c r="A19" s="270" t="s">
        <v>94</v>
      </c>
      <c r="B19" s="17" t="s">
        <v>89</v>
      </c>
      <c r="C19" s="17" t="s">
        <v>29</v>
      </c>
      <c r="D19" s="155">
        <v>-38.589927555043182</v>
      </c>
      <c r="E19" s="155">
        <v>-3.7238050350000007</v>
      </c>
      <c r="F19" s="18">
        <v>2006</v>
      </c>
      <c r="G19" s="19" t="s">
        <v>90</v>
      </c>
      <c r="H19" s="17" t="s">
        <v>177</v>
      </c>
      <c r="I19" s="17" t="s">
        <v>91</v>
      </c>
      <c r="J19" s="18" t="s">
        <v>81</v>
      </c>
      <c r="K19" s="158">
        <v>1200</v>
      </c>
      <c r="L19" s="17">
        <v>1.2E-2</v>
      </c>
      <c r="M19" s="17" t="s">
        <v>80</v>
      </c>
      <c r="N19" s="17" t="s">
        <v>88</v>
      </c>
      <c r="O19" s="10">
        <v>6.3</v>
      </c>
      <c r="P19" s="3">
        <v>1.0000000000000009E-3</v>
      </c>
      <c r="Q19" s="4">
        <v>3.7999999999999999E-2</v>
      </c>
      <c r="R19" s="4">
        <v>4.8000000000000001E-2</v>
      </c>
      <c r="S19" s="4">
        <v>5.2999999999999999E-2</v>
      </c>
    </row>
    <row r="20" spans="1:19" ht="14.25" customHeight="1">
      <c r="A20" s="270" t="s">
        <v>94</v>
      </c>
      <c r="B20" s="17" t="s">
        <v>89</v>
      </c>
      <c r="C20" s="17" t="s">
        <v>137</v>
      </c>
      <c r="D20" s="155">
        <v>-51.162773423878093</v>
      </c>
      <c r="E20" s="155">
        <v>-23.312156000000005</v>
      </c>
      <c r="F20" s="18">
        <v>2006</v>
      </c>
      <c r="G20" s="19" t="s">
        <v>90</v>
      </c>
      <c r="H20" s="18" t="s">
        <v>177</v>
      </c>
      <c r="I20" s="17" t="s">
        <v>91</v>
      </c>
      <c r="J20" s="18" t="s">
        <v>81</v>
      </c>
      <c r="K20" s="18">
        <v>2100</v>
      </c>
      <c r="L20" s="17">
        <v>1.2E-2</v>
      </c>
      <c r="M20" s="18" t="s">
        <v>80</v>
      </c>
      <c r="N20" s="18" t="s">
        <v>88</v>
      </c>
      <c r="O20" s="24">
        <v>82.857142857142861</v>
      </c>
      <c r="P20" s="3">
        <v>1.9999999999999983E-3</v>
      </c>
      <c r="Q20" s="4">
        <v>9.9000000000000008E-3</v>
      </c>
      <c r="R20" s="4">
        <v>1.7999999999999999E-2</v>
      </c>
      <c r="S20" s="4">
        <v>2.3E-2</v>
      </c>
    </row>
    <row r="21" spans="1:19" ht="14.25" customHeight="1">
      <c r="A21" s="270" t="s">
        <v>94</v>
      </c>
      <c r="B21" s="17" t="s">
        <v>89</v>
      </c>
      <c r="C21" s="17" t="s">
        <v>138</v>
      </c>
      <c r="D21" s="245">
        <v>-51.939881870252066</v>
      </c>
      <c r="E21" s="245">
        <v>-23.422280000000004</v>
      </c>
      <c r="F21" s="18">
        <v>2006</v>
      </c>
      <c r="G21" s="19" t="s">
        <v>90</v>
      </c>
      <c r="H21" s="18" t="s">
        <v>177</v>
      </c>
      <c r="I21" s="17" t="s">
        <v>91</v>
      </c>
      <c r="J21" s="18" t="s">
        <v>81</v>
      </c>
      <c r="K21" s="158">
        <v>1500</v>
      </c>
      <c r="L21" s="17">
        <v>1.2E-2</v>
      </c>
      <c r="M21" s="18" t="s">
        <v>80</v>
      </c>
      <c r="N21" s="17" t="s">
        <v>88</v>
      </c>
      <c r="O21" s="24">
        <v>75.400000000000006</v>
      </c>
      <c r="P21" s="3">
        <v>1.7999999999999995E-3</v>
      </c>
      <c r="Q21" s="4">
        <v>1.0699999999999999E-2</v>
      </c>
      <c r="R21" s="4">
        <v>2.1499999999999998E-2</v>
      </c>
      <c r="S21" s="4">
        <v>2.86E-2</v>
      </c>
    </row>
    <row r="22" spans="1:19" ht="14.25" customHeight="1">
      <c r="A22" s="270" t="s">
        <v>94</v>
      </c>
      <c r="B22" s="17" t="s">
        <v>89</v>
      </c>
      <c r="C22" s="158" t="s">
        <v>139</v>
      </c>
      <c r="D22" s="155">
        <v>-48.351043708246195</v>
      </c>
      <c r="E22" s="155">
        <v>-10.16325332679275</v>
      </c>
      <c r="F22" s="18">
        <v>2006</v>
      </c>
      <c r="G22" s="19" t="s">
        <v>90</v>
      </c>
      <c r="H22" s="18" t="s">
        <v>177</v>
      </c>
      <c r="I22" s="17" t="s">
        <v>91</v>
      </c>
      <c r="J22" s="18" t="s">
        <v>81</v>
      </c>
      <c r="K22" s="158">
        <v>2400</v>
      </c>
      <c r="L22" s="17">
        <v>1.2E-2</v>
      </c>
      <c r="M22" s="18" t="s">
        <v>80</v>
      </c>
      <c r="N22" s="17" t="s">
        <v>88</v>
      </c>
      <c r="O22" s="24">
        <v>30.324999999999999</v>
      </c>
      <c r="P22" s="3">
        <v>3.0000000000000027E-3</v>
      </c>
      <c r="Q22" s="4">
        <v>2.3E-2</v>
      </c>
      <c r="R22" s="4">
        <v>4.5999999999999999E-2</v>
      </c>
      <c r="S22" s="4">
        <v>0.06</v>
      </c>
    </row>
    <row r="23" spans="1:19" ht="14.25" customHeight="1">
      <c r="A23" s="270" t="s">
        <v>94</v>
      </c>
      <c r="B23" s="17" t="s">
        <v>89</v>
      </c>
      <c r="C23" s="17" t="s">
        <v>140</v>
      </c>
      <c r="D23" s="155">
        <v>-60.028266774190257</v>
      </c>
      <c r="E23" s="155">
        <v>1.0181116273912603</v>
      </c>
      <c r="F23" s="18">
        <v>2006</v>
      </c>
      <c r="G23" s="19" t="s">
        <v>90</v>
      </c>
      <c r="H23" s="18" t="s">
        <v>177</v>
      </c>
      <c r="I23" s="17" t="s">
        <v>91</v>
      </c>
      <c r="J23" s="18" t="s">
        <v>81</v>
      </c>
      <c r="K23" s="158">
        <v>1200</v>
      </c>
      <c r="L23" s="17">
        <v>1.2E-2</v>
      </c>
      <c r="M23" s="18" t="s">
        <v>80</v>
      </c>
      <c r="N23" s="17" t="s">
        <v>88</v>
      </c>
      <c r="O23" s="24">
        <v>35.700000000000003</v>
      </c>
      <c r="P23" s="3">
        <v>5.0000000000000044E-3</v>
      </c>
      <c r="Q23" s="4">
        <v>2.5999999999999999E-2</v>
      </c>
      <c r="R23" s="4">
        <v>5.6000000000000001E-2</v>
      </c>
      <c r="S23" s="4">
        <v>7.5999999999999998E-2</v>
      </c>
    </row>
    <row r="24" spans="1:19" ht="14.25" customHeight="1">
      <c r="A24" s="270" t="s">
        <v>94</v>
      </c>
      <c r="B24" s="17" t="s">
        <v>89</v>
      </c>
      <c r="C24" s="17" t="s">
        <v>14</v>
      </c>
      <c r="D24" s="155">
        <v>-38.589927555043182</v>
      </c>
      <c r="E24" s="155">
        <v>-3.7238050350000007</v>
      </c>
      <c r="F24" s="18">
        <v>2006</v>
      </c>
      <c r="G24" s="19" t="s">
        <v>90</v>
      </c>
      <c r="H24" s="18" t="s">
        <v>177</v>
      </c>
      <c r="I24" s="17" t="s">
        <v>91</v>
      </c>
      <c r="J24" s="18" t="s">
        <v>81</v>
      </c>
      <c r="K24" s="158">
        <v>900</v>
      </c>
      <c r="L24" s="17">
        <v>1.2E-2</v>
      </c>
      <c r="M24" s="18" t="s">
        <v>80</v>
      </c>
      <c r="N24" s="17" t="s">
        <v>88</v>
      </c>
      <c r="O24" s="24">
        <v>2</v>
      </c>
      <c r="P24" s="3">
        <v>3.0000000000000027E-3</v>
      </c>
      <c r="Q24" s="4">
        <v>2.9000000000000001E-2</v>
      </c>
      <c r="R24" s="4">
        <v>4.8000000000000001E-2</v>
      </c>
      <c r="S24" s="4">
        <v>5.8999999999999997E-2</v>
      </c>
    </row>
    <row r="25" spans="1:19" ht="14.25" customHeight="1" thickBot="1">
      <c r="A25" s="11" t="s">
        <v>94</v>
      </c>
      <c r="B25" s="21" t="s">
        <v>89</v>
      </c>
      <c r="C25" s="21" t="s">
        <v>12</v>
      </c>
      <c r="D25" s="156">
        <v>-38.589927555043182</v>
      </c>
      <c r="E25" s="156">
        <v>-3.7238050350000007</v>
      </c>
      <c r="F25" s="21">
        <v>2006</v>
      </c>
      <c r="G25" s="22" t="s">
        <v>90</v>
      </c>
      <c r="H25" s="21" t="s">
        <v>177</v>
      </c>
      <c r="I25" s="21" t="s">
        <v>91</v>
      </c>
      <c r="J25" s="21" t="s">
        <v>81</v>
      </c>
      <c r="K25" s="11">
        <v>1200</v>
      </c>
      <c r="L25" s="21">
        <v>1.2E-2</v>
      </c>
      <c r="M25" s="21" t="s">
        <v>80</v>
      </c>
      <c r="N25" s="21" t="s">
        <v>88</v>
      </c>
      <c r="O25" s="25">
        <v>5.75</v>
      </c>
      <c r="P25" s="13">
        <v>3.0000000000000027E-3</v>
      </c>
      <c r="Q25" s="29">
        <v>2.3E-2</v>
      </c>
      <c r="R25" s="29">
        <v>0.04</v>
      </c>
      <c r="S25" s="29">
        <v>5.0999999999999997E-2</v>
      </c>
    </row>
    <row r="26" spans="1:19" ht="14.25" customHeight="1">
      <c r="A26" s="270" t="s">
        <v>94</v>
      </c>
      <c r="B26" s="17" t="s">
        <v>89</v>
      </c>
      <c r="C26" s="20" t="s">
        <v>124</v>
      </c>
      <c r="D26" s="261"/>
      <c r="E26" s="262"/>
      <c r="F26" s="18">
        <v>2006</v>
      </c>
      <c r="G26" s="19" t="s">
        <v>90</v>
      </c>
      <c r="H26" s="18" t="s">
        <v>177</v>
      </c>
      <c r="I26" s="17" t="s">
        <v>91</v>
      </c>
      <c r="J26" s="158" t="s">
        <v>92</v>
      </c>
      <c r="K26" s="158">
        <v>1200</v>
      </c>
      <c r="L26" s="158">
        <v>0.01</v>
      </c>
      <c r="M26" s="18" t="s">
        <v>80</v>
      </c>
      <c r="N26" s="17" t="s">
        <v>88</v>
      </c>
      <c r="O26" s="51">
        <v>100</v>
      </c>
      <c r="P26" s="23">
        <v>1.9999999999999966E-4</v>
      </c>
      <c r="Q26" s="4">
        <v>2.9299999999999999E-3</v>
      </c>
      <c r="R26" s="4">
        <v>4.5999999999999999E-3</v>
      </c>
      <c r="S26" s="4">
        <v>5.5999999999999999E-3</v>
      </c>
    </row>
    <row r="27" spans="1:19" ht="14.25" customHeight="1">
      <c r="A27" s="270" t="s">
        <v>94</v>
      </c>
      <c r="B27" s="17" t="s">
        <v>89</v>
      </c>
      <c r="C27" s="158" t="s">
        <v>100</v>
      </c>
      <c r="D27" s="109">
        <v>-50.439226072752597</v>
      </c>
      <c r="E27" s="109">
        <v>-21.205476000000004</v>
      </c>
      <c r="F27" s="18">
        <v>2006</v>
      </c>
      <c r="G27" s="19" t="s">
        <v>90</v>
      </c>
      <c r="H27" s="18" t="s">
        <v>177</v>
      </c>
      <c r="I27" s="17" t="s">
        <v>91</v>
      </c>
      <c r="J27" s="158" t="s">
        <v>92</v>
      </c>
      <c r="K27" s="158">
        <v>1200</v>
      </c>
      <c r="L27" s="158">
        <v>0.01</v>
      </c>
      <c r="M27" s="18" t="s">
        <v>80</v>
      </c>
      <c r="N27" s="17" t="s">
        <v>88</v>
      </c>
      <c r="O27" s="24">
        <v>83.8</v>
      </c>
      <c r="P27" s="23">
        <v>4.9999999999999871E-4</v>
      </c>
      <c r="Q27" s="4">
        <v>5.4999999999999997E-3</v>
      </c>
      <c r="R27" s="4">
        <v>9.2999999999999992E-3</v>
      </c>
      <c r="S27" s="4">
        <v>1.2E-2</v>
      </c>
    </row>
    <row r="28" spans="1:19" ht="14.25" customHeight="1">
      <c r="A28" s="270" t="s">
        <v>94</v>
      </c>
      <c r="B28" s="17" t="s">
        <v>89</v>
      </c>
      <c r="C28" s="158" t="s">
        <v>101</v>
      </c>
      <c r="D28" s="109">
        <v>-48.567377839455055</v>
      </c>
      <c r="E28" s="109">
        <v>-20.558455515000002</v>
      </c>
      <c r="F28" s="18">
        <v>2006</v>
      </c>
      <c r="G28" s="19" t="s">
        <v>90</v>
      </c>
      <c r="H28" s="17" t="s">
        <v>177</v>
      </c>
      <c r="I28" s="17" t="s">
        <v>91</v>
      </c>
      <c r="J28" s="158" t="s">
        <v>92</v>
      </c>
      <c r="K28" s="158">
        <v>1200</v>
      </c>
      <c r="L28" s="158">
        <v>0.01</v>
      </c>
      <c r="M28" s="18" t="s">
        <v>80</v>
      </c>
      <c r="N28" s="17" t="s">
        <v>88</v>
      </c>
      <c r="O28" s="24">
        <v>81.25</v>
      </c>
      <c r="P28" s="23">
        <v>9.9999999999999915E-4</v>
      </c>
      <c r="Q28" s="4">
        <v>6.1000000000000004E-3</v>
      </c>
      <c r="R28" s="4">
        <v>1.0999999999999999E-2</v>
      </c>
      <c r="S28" s="4">
        <v>1.4E-2</v>
      </c>
    </row>
    <row r="29" spans="1:19" ht="14.25" customHeight="1">
      <c r="A29" s="270" t="s">
        <v>94</v>
      </c>
      <c r="B29" s="17" t="s">
        <v>89</v>
      </c>
      <c r="C29" s="158" t="s">
        <v>102</v>
      </c>
      <c r="D29" s="109">
        <v>-49.083000867090362</v>
      </c>
      <c r="E29" s="109">
        <v>-22.325122500000006</v>
      </c>
      <c r="F29" s="18">
        <v>2006</v>
      </c>
      <c r="G29" s="19" t="s">
        <v>90</v>
      </c>
      <c r="H29" s="18" t="s">
        <v>177</v>
      </c>
      <c r="I29" s="17" t="s">
        <v>91</v>
      </c>
      <c r="J29" s="158" t="s">
        <v>92</v>
      </c>
      <c r="K29" s="158">
        <v>1800</v>
      </c>
      <c r="L29" s="158">
        <v>0.01</v>
      </c>
      <c r="M29" s="18" t="s">
        <v>80</v>
      </c>
      <c r="N29" s="17" t="s">
        <v>88</v>
      </c>
      <c r="O29" s="24">
        <v>98.966666666666654</v>
      </c>
      <c r="P29" s="23">
        <v>4.0000000000000018E-4</v>
      </c>
      <c r="Q29" s="4">
        <v>4.0000000000000001E-3</v>
      </c>
      <c r="R29" s="4">
        <v>6.1999999999999998E-3</v>
      </c>
      <c r="S29" s="4">
        <v>7.4999999999999997E-3</v>
      </c>
    </row>
    <row r="30" spans="1:19" ht="14.25" customHeight="1">
      <c r="A30" s="270" t="s">
        <v>94</v>
      </c>
      <c r="B30" s="17" t="s">
        <v>89</v>
      </c>
      <c r="C30" s="158" t="s">
        <v>103</v>
      </c>
      <c r="D30" s="109">
        <v>-48.441289384350434</v>
      </c>
      <c r="E30" s="109">
        <v>-22.888381500000008</v>
      </c>
      <c r="F30" s="18">
        <v>2006</v>
      </c>
      <c r="G30" s="19" t="s">
        <v>90</v>
      </c>
      <c r="H30" s="18" t="s">
        <v>177</v>
      </c>
      <c r="I30" s="17" t="s">
        <v>91</v>
      </c>
      <c r="J30" s="158" t="s">
        <v>92</v>
      </c>
      <c r="K30" s="158">
        <v>1500</v>
      </c>
      <c r="L30" s="158">
        <v>0.01</v>
      </c>
      <c r="M30" s="18" t="s">
        <v>80</v>
      </c>
      <c r="N30" s="17" t="s">
        <v>88</v>
      </c>
      <c r="O30" s="24">
        <v>98.5</v>
      </c>
      <c r="P30" s="23">
        <v>5.0000000000000044E-4</v>
      </c>
      <c r="Q30" s="4">
        <v>4.1000000000000003E-3</v>
      </c>
      <c r="R30" s="4">
        <v>8.3000000000000001E-3</v>
      </c>
      <c r="S30" s="4">
        <v>1.0999999999999999E-2</v>
      </c>
    </row>
    <row r="31" spans="1:19" ht="14.25" customHeight="1">
      <c r="A31" s="270" t="s">
        <v>94</v>
      </c>
      <c r="B31" s="17" t="s">
        <v>89</v>
      </c>
      <c r="C31" s="158" t="s">
        <v>106</v>
      </c>
      <c r="D31" s="109">
        <v>-46.933372863488053</v>
      </c>
      <c r="E31" s="109">
        <v>-23.546934000000004</v>
      </c>
      <c r="F31" s="18">
        <v>2006</v>
      </c>
      <c r="G31" s="19" t="s">
        <v>90</v>
      </c>
      <c r="H31" s="18" t="s">
        <v>177</v>
      </c>
      <c r="I31" s="17" t="s">
        <v>91</v>
      </c>
      <c r="J31" s="158" t="s">
        <v>92</v>
      </c>
      <c r="K31" s="158">
        <v>1200</v>
      </c>
      <c r="L31" s="158">
        <v>0.01</v>
      </c>
      <c r="M31" s="18" t="s">
        <v>80</v>
      </c>
      <c r="N31" s="17" t="s">
        <v>88</v>
      </c>
      <c r="O31" s="24">
        <v>97.8</v>
      </c>
      <c r="P31" s="23">
        <v>3.9999999999999931E-4</v>
      </c>
      <c r="Q31" s="4">
        <v>5.1999999999999998E-3</v>
      </c>
      <c r="R31" s="4">
        <v>8.3999999999999995E-3</v>
      </c>
      <c r="S31" s="4">
        <v>0.01</v>
      </c>
    </row>
    <row r="32" spans="1:19" ht="14.25" customHeight="1">
      <c r="A32" s="270" t="s">
        <v>94</v>
      </c>
      <c r="B32" s="17" t="s">
        <v>89</v>
      </c>
      <c r="C32" s="158" t="s">
        <v>130</v>
      </c>
      <c r="D32" s="109">
        <v>-46.905221141741073</v>
      </c>
      <c r="E32" s="109">
        <v>-23.529939000000002</v>
      </c>
      <c r="F32" s="18">
        <v>2006</v>
      </c>
      <c r="G32" s="19" t="s">
        <v>90</v>
      </c>
      <c r="H32" s="18" t="s">
        <v>177</v>
      </c>
      <c r="I32" s="17" t="s">
        <v>91</v>
      </c>
      <c r="J32" s="158" t="s">
        <v>92</v>
      </c>
      <c r="K32" s="158">
        <v>1200</v>
      </c>
      <c r="L32" s="158">
        <v>0.01</v>
      </c>
      <c r="M32" s="18" t="s">
        <v>80</v>
      </c>
      <c r="N32" s="17" t="s">
        <v>88</v>
      </c>
      <c r="O32" s="24">
        <v>97</v>
      </c>
      <c r="P32" s="23">
        <v>5.0000000000000044E-4</v>
      </c>
      <c r="Q32" s="4">
        <v>4.8999999999999998E-3</v>
      </c>
      <c r="R32" s="4">
        <v>9.1999999999999998E-3</v>
      </c>
      <c r="S32" s="4">
        <v>1.2E-2</v>
      </c>
    </row>
    <row r="33" spans="1:19" ht="14.25" customHeight="1">
      <c r="A33" s="270" t="s">
        <v>94</v>
      </c>
      <c r="B33" s="17" t="s">
        <v>89</v>
      </c>
      <c r="C33" s="158" t="s">
        <v>108</v>
      </c>
      <c r="D33" s="109">
        <v>-51.386765581912492</v>
      </c>
      <c r="E33" s="109">
        <v>-24.494251427999906</v>
      </c>
      <c r="F33" s="18">
        <v>2006</v>
      </c>
      <c r="G33" s="19" t="s">
        <v>90</v>
      </c>
      <c r="H33" s="18" t="s">
        <v>177</v>
      </c>
      <c r="I33" s="17" t="s">
        <v>91</v>
      </c>
      <c r="J33" s="158" t="s">
        <v>92</v>
      </c>
      <c r="K33" s="158">
        <v>2100</v>
      </c>
      <c r="L33" s="158">
        <v>0.01</v>
      </c>
      <c r="M33" s="18" t="s">
        <v>80</v>
      </c>
      <c r="N33" s="17" t="s">
        <v>88</v>
      </c>
      <c r="O33" s="24">
        <v>95.185714285714283</v>
      </c>
      <c r="P33" s="23">
        <v>2.0000000000000052E-4</v>
      </c>
      <c r="Q33" s="4">
        <v>6.4999999999999997E-3</v>
      </c>
      <c r="R33" s="4">
        <v>0.01</v>
      </c>
      <c r="S33" s="4">
        <v>1.2E-2</v>
      </c>
    </row>
    <row r="34" spans="1:19" ht="14.25" customHeight="1">
      <c r="A34" s="270" t="s">
        <v>94</v>
      </c>
      <c r="B34" s="17" t="s">
        <v>89</v>
      </c>
      <c r="C34" s="158" t="s">
        <v>109</v>
      </c>
      <c r="D34" s="109">
        <v>-47.805475915541528</v>
      </c>
      <c r="E34" s="109">
        <v>-21.184834500000004</v>
      </c>
      <c r="F34" s="18">
        <v>2006</v>
      </c>
      <c r="G34" s="19" t="s">
        <v>90</v>
      </c>
      <c r="H34" s="18" t="s">
        <v>177</v>
      </c>
      <c r="I34" s="17" t="s">
        <v>91</v>
      </c>
      <c r="J34" s="158" t="s">
        <v>92</v>
      </c>
      <c r="K34" s="158">
        <v>1800</v>
      </c>
      <c r="L34" s="158">
        <v>0.01</v>
      </c>
      <c r="M34" s="18" t="s">
        <v>80</v>
      </c>
      <c r="N34" s="17" t="s">
        <v>88</v>
      </c>
      <c r="O34" s="24">
        <v>94.55</v>
      </c>
      <c r="P34" s="23">
        <v>4.0000000000000105E-4</v>
      </c>
      <c r="Q34" s="4">
        <v>6.1999999999999998E-3</v>
      </c>
      <c r="R34" s="4">
        <v>9.1000000000000004E-3</v>
      </c>
      <c r="S34" s="4">
        <v>1.0999999999999999E-2</v>
      </c>
    </row>
    <row r="35" spans="1:19" ht="14.25" customHeight="1">
      <c r="A35" s="270" t="s">
        <v>94</v>
      </c>
      <c r="B35" s="17" t="s">
        <v>89</v>
      </c>
      <c r="C35" s="158" t="s">
        <v>110</v>
      </c>
      <c r="D35" s="109">
        <v>-46.331370849190684</v>
      </c>
      <c r="E35" s="109">
        <v>-23.933737500000003</v>
      </c>
      <c r="F35" s="18">
        <v>2006</v>
      </c>
      <c r="G35" s="19" t="s">
        <v>90</v>
      </c>
      <c r="H35" s="18" t="s">
        <v>177</v>
      </c>
      <c r="I35" s="17" t="s">
        <v>91</v>
      </c>
      <c r="J35" s="158" t="s">
        <v>92</v>
      </c>
      <c r="K35" s="158">
        <v>1800</v>
      </c>
      <c r="L35" s="158">
        <v>0.01</v>
      </c>
      <c r="M35" s="18" t="s">
        <v>80</v>
      </c>
      <c r="N35" s="17" t="s">
        <v>88</v>
      </c>
      <c r="O35" s="24">
        <v>94.7</v>
      </c>
      <c r="P35" s="23">
        <v>4.9999999999999871E-4</v>
      </c>
      <c r="Q35" s="4">
        <v>5.3E-3</v>
      </c>
      <c r="R35" s="4">
        <v>9.2999999999999992E-3</v>
      </c>
      <c r="S35" s="4">
        <v>1.2E-2</v>
      </c>
    </row>
    <row r="36" spans="1:19" ht="14.25" customHeight="1">
      <c r="A36" s="270" t="s">
        <v>94</v>
      </c>
      <c r="B36" s="17" t="s">
        <v>89</v>
      </c>
      <c r="C36" s="158" t="s">
        <v>111</v>
      </c>
      <c r="D36" s="109">
        <v>-47.889237684691636</v>
      </c>
      <c r="E36" s="109">
        <v>-22.015998500000002</v>
      </c>
      <c r="F36" s="18">
        <v>2006</v>
      </c>
      <c r="G36" s="19" t="s">
        <v>90</v>
      </c>
      <c r="H36" s="18" t="s">
        <v>177</v>
      </c>
      <c r="I36" s="17" t="s">
        <v>91</v>
      </c>
      <c r="J36" s="158" t="s">
        <v>92</v>
      </c>
      <c r="K36" s="158">
        <v>1500</v>
      </c>
      <c r="L36" s="158">
        <v>0.01</v>
      </c>
      <c r="M36" s="18" t="s">
        <v>80</v>
      </c>
      <c r="N36" s="17" t="s">
        <v>88</v>
      </c>
      <c r="O36" s="10">
        <v>98.320000000000007</v>
      </c>
      <c r="P36" s="23">
        <v>4.0000000000000018E-4</v>
      </c>
      <c r="Q36" s="4">
        <v>5.7000000000000002E-3</v>
      </c>
      <c r="R36" s="4">
        <v>8.0000000000000002E-3</v>
      </c>
      <c r="S36" s="4">
        <v>9.1000000000000004E-3</v>
      </c>
    </row>
    <row r="37" spans="1:19" ht="14.25" customHeight="1">
      <c r="A37" s="270" t="s">
        <v>94</v>
      </c>
      <c r="B37" s="17" t="s">
        <v>89</v>
      </c>
      <c r="C37" s="158" t="s">
        <v>131</v>
      </c>
      <c r="D37" s="109">
        <v>-49.381347685025794</v>
      </c>
      <c r="E37" s="109">
        <v>-20.812636500000004</v>
      </c>
      <c r="F37" s="18">
        <v>2006</v>
      </c>
      <c r="G37" s="19" t="s">
        <v>90</v>
      </c>
      <c r="H37" s="17" t="s">
        <v>177</v>
      </c>
      <c r="I37" s="17" t="s">
        <v>91</v>
      </c>
      <c r="J37" s="158" t="s">
        <v>92</v>
      </c>
      <c r="K37" s="158">
        <v>1200</v>
      </c>
      <c r="L37" s="158">
        <v>0.01</v>
      </c>
      <c r="M37" s="18" t="s">
        <v>80</v>
      </c>
      <c r="N37" s="17" t="s">
        <v>88</v>
      </c>
      <c r="O37" s="28">
        <v>93.65</v>
      </c>
      <c r="P37" s="23">
        <v>5.9999999999999984E-4</v>
      </c>
      <c r="Q37" s="4">
        <v>5.7000000000000002E-3</v>
      </c>
      <c r="R37" s="4">
        <v>9.5999999999999992E-3</v>
      </c>
      <c r="S37" s="4">
        <v>1.2E-2</v>
      </c>
    </row>
    <row r="38" spans="1:19" ht="14.25" customHeight="1">
      <c r="A38" s="270" t="s">
        <v>94</v>
      </c>
      <c r="B38" s="17" t="s">
        <v>89</v>
      </c>
      <c r="C38" s="158" t="s">
        <v>113</v>
      </c>
      <c r="D38" s="109">
        <v>-45.402680140543957</v>
      </c>
      <c r="E38" s="109">
        <v>-23.806687652148753</v>
      </c>
      <c r="F38" s="18">
        <v>2006</v>
      </c>
      <c r="G38" s="19" t="s">
        <v>90</v>
      </c>
      <c r="H38" s="18" t="s">
        <v>177</v>
      </c>
      <c r="I38" s="17" t="s">
        <v>91</v>
      </c>
      <c r="J38" s="158" t="s">
        <v>92</v>
      </c>
      <c r="K38" s="158">
        <v>1500</v>
      </c>
      <c r="L38" s="158">
        <v>0.01</v>
      </c>
      <c r="M38" s="18" t="s">
        <v>80</v>
      </c>
      <c r="N38" s="17" t="s">
        <v>88</v>
      </c>
      <c r="O38" s="24">
        <v>86.8</v>
      </c>
      <c r="P38" s="23">
        <v>5.9999999999999984E-4</v>
      </c>
      <c r="Q38" s="4">
        <v>7.0000000000000001E-3</v>
      </c>
      <c r="R38" s="4">
        <v>1.1599999999999999E-2</v>
      </c>
      <c r="S38" s="4">
        <v>1.43E-2</v>
      </c>
    </row>
    <row r="39" spans="1:19" ht="14.25" customHeight="1">
      <c r="A39" s="270" t="s">
        <v>94</v>
      </c>
      <c r="B39" s="17" t="s">
        <v>89</v>
      </c>
      <c r="C39" s="17" t="s">
        <v>13</v>
      </c>
      <c r="D39" s="109">
        <v>-38.589927555043182</v>
      </c>
      <c r="E39" s="109">
        <v>-3.7238050350000007</v>
      </c>
      <c r="F39" s="18">
        <v>2006</v>
      </c>
      <c r="G39" s="19" t="s">
        <v>90</v>
      </c>
      <c r="H39" s="18" t="s">
        <v>177</v>
      </c>
      <c r="I39" s="17" t="s">
        <v>91</v>
      </c>
      <c r="J39" s="158" t="s">
        <v>92</v>
      </c>
      <c r="K39" s="158">
        <v>1800</v>
      </c>
      <c r="L39" s="158">
        <v>0.01</v>
      </c>
      <c r="M39" s="18" t="s">
        <v>80</v>
      </c>
      <c r="N39" s="17" t="s">
        <v>88</v>
      </c>
      <c r="O39" s="24">
        <v>69.5</v>
      </c>
      <c r="P39" s="23">
        <v>1.0000000000000009E-3</v>
      </c>
      <c r="Q39" s="4">
        <v>8.2000000000000007E-3</v>
      </c>
      <c r="R39" s="4">
        <v>1.4E-2</v>
      </c>
      <c r="S39" s="4">
        <v>1.7000000000000001E-2</v>
      </c>
    </row>
    <row r="40" spans="1:19" ht="14.25" customHeight="1">
      <c r="A40" s="270" t="s">
        <v>94</v>
      </c>
      <c r="B40" s="17" t="s">
        <v>89</v>
      </c>
      <c r="C40" s="17" t="s">
        <v>136</v>
      </c>
      <c r="D40" s="109">
        <v>-48.208705251855818</v>
      </c>
      <c r="E40" s="109">
        <v>-7.191328939654956</v>
      </c>
      <c r="F40" s="18">
        <v>2006</v>
      </c>
      <c r="G40" s="19" t="s">
        <v>90</v>
      </c>
      <c r="H40" s="18" t="s">
        <v>177</v>
      </c>
      <c r="I40" s="17" t="s">
        <v>91</v>
      </c>
      <c r="J40" s="158" t="s">
        <v>92</v>
      </c>
      <c r="K40" s="158">
        <v>1500</v>
      </c>
      <c r="L40" s="158">
        <v>0.01</v>
      </c>
      <c r="M40" s="18" t="s">
        <v>80</v>
      </c>
      <c r="N40" s="17" t="s">
        <v>88</v>
      </c>
      <c r="O40" s="24">
        <v>78.7</v>
      </c>
      <c r="P40" s="105">
        <v>9.9999999999999742E-4</v>
      </c>
      <c r="Q40" s="4">
        <v>9.9000000000000008E-3</v>
      </c>
      <c r="R40" s="4">
        <v>1.7999999999999999E-2</v>
      </c>
      <c r="S40" s="4">
        <v>2.3E-2</v>
      </c>
    </row>
    <row r="41" spans="1:19" ht="14.25" customHeight="1">
      <c r="A41" s="270" t="s">
        <v>94</v>
      </c>
      <c r="B41" s="17" t="s">
        <v>89</v>
      </c>
      <c r="C41" s="17" t="s">
        <v>28</v>
      </c>
      <c r="D41" s="155">
        <v>-38.589927555043182</v>
      </c>
      <c r="E41" s="155">
        <v>-3.7238050350000007</v>
      </c>
      <c r="F41" s="18">
        <v>2006</v>
      </c>
      <c r="G41" s="19" t="s">
        <v>90</v>
      </c>
      <c r="H41" s="18" t="s">
        <v>177</v>
      </c>
      <c r="I41" s="17" t="s">
        <v>91</v>
      </c>
      <c r="J41" s="158" t="s">
        <v>92</v>
      </c>
      <c r="K41" s="158">
        <v>1200</v>
      </c>
      <c r="L41" s="158">
        <v>0.01</v>
      </c>
      <c r="M41" s="18" t="s">
        <v>80</v>
      </c>
      <c r="N41" s="17" t="s">
        <v>88</v>
      </c>
      <c r="O41" s="24">
        <v>80.875</v>
      </c>
      <c r="P41" s="105">
        <v>2E-3</v>
      </c>
      <c r="Q41" s="4">
        <v>9.7000000000000003E-3</v>
      </c>
      <c r="R41" s="4">
        <v>1.6E-2</v>
      </c>
      <c r="S41" s="4">
        <v>1.9E-2</v>
      </c>
    </row>
    <row r="42" spans="1:19" ht="14.25" customHeight="1">
      <c r="A42" s="270" t="s">
        <v>94</v>
      </c>
      <c r="B42" s="17" t="s">
        <v>89</v>
      </c>
      <c r="C42" s="17" t="s">
        <v>146</v>
      </c>
      <c r="D42" s="155">
        <v>-54.5871024886046</v>
      </c>
      <c r="E42" s="155">
        <v>-25.542493279529253</v>
      </c>
      <c r="F42" s="18">
        <v>2006</v>
      </c>
      <c r="G42" s="19" t="s">
        <v>90</v>
      </c>
      <c r="H42" s="18" t="s">
        <v>177</v>
      </c>
      <c r="I42" s="17" t="s">
        <v>91</v>
      </c>
      <c r="J42" s="158" t="s">
        <v>92</v>
      </c>
      <c r="K42" s="158">
        <v>1500</v>
      </c>
      <c r="L42" s="158">
        <v>0.01</v>
      </c>
      <c r="M42" s="18" t="s">
        <v>80</v>
      </c>
      <c r="N42" s="17" t="s">
        <v>88</v>
      </c>
      <c r="O42" s="24">
        <v>98.28</v>
      </c>
      <c r="P42" s="23">
        <v>3.4999999999999962E-4</v>
      </c>
      <c r="Q42" s="4">
        <v>4.62E-3</v>
      </c>
      <c r="R42" s="4">
        <v>7.45E-3</v>
      </c>
      <c r="S42" s="4">
        <v>9.0799999999999995E-3</v>
      </c>
    </row>
    <row r="43" spans="1:19" ht="14.25" customHeight="1">
      <c r="A43" s="270" t="s">
        <v>94</v>
      </c>
      <c r="B43" s="17" t="s">
        <v>89</v>
      </c>
      <c r="C43" s="17" t="s">
        <v>29</v>
      </c>
      <c r="D43" s="155">
        <v>-38.589927555043182</v>
      </c>
      <c r="E43" s="155">
        <v>-3.7238050350000007</v>
      </c>
      <c r="F43" s="18">
        <v>2006</v>
      </c>
      <c r="G43" s="19" t="s">
        <v>90</v>
      </c>
      <c r="H43" s="18" t="s">
        <v>177</v>
      </c>
      <c r="I43" s="17" t="s">
        <v>91</v>
      </c>
      <c r="J43" s="158" t="s">
        <v>92</v>
      </c>
      <c r="K43" s="158">
        <v>2100</v>
      </c>
      <c r="L43" s="158">
        <v>0.01</v>
      </c>
      <c r="M43" s="18" t="s">
        <v>80</v>
      </c>
      <c r="N43" s="17" t="s">
        <v>88</v>
      </c>
      <c r="O43" s="24">
        <v>74.785714285714292</v>
      </c>
      <c r="P43" s="105">
        <v>9.9999999999999915E-4</v>
      </c>
      <c r="Q43" s="4">
        <v>8.5000000000000006E-3</v>
      </c>
      <c r="R43" s="4">
        <v>1.2999999999999999E-2</v>
      </c>
      <c r="S43" s="4">
        <v>1.6E-2</v>
      </c>
    </row>
    <row r="44" spans="1:19" ht="14.25" customHeight="1">
      <c r="A44" s="270" t="s">
        <v>94</v>
      </c>
      <c r="B44" s="17" t="s">
        <v>89</v>
      </c>
      <c r="C44" s="17" t="s">
        <v>137</v>
      </c>
      <c r="D44" s="155">
        <v>-51.162773423878093</v>
      </c>
      <c r="E44" s="155">
        <v>-23.312156000000005</v>
      </c>
      <c r="F44" s="18">
        <v>2006</v>
      </c>
      <c r="G44" s="19" t="s">
        <v>90</v>
      </c>
      <c r="H44" s="18" t="s">
        <v>177</v>
      </c>
      <c r="I44" s="17" t="s">
        <v>91</v>
      </c>
      <c r="J44" s="158" t="s">
        <v>92</v>
      </c>
      <c r="K44" s="158">
        <v>900</v>
      </c>
      <c r="L44" s="158">
        <v>0.01</v>
      </c>
      <c r="M44" s="18" t="s">
        <v>80</v>
      </c>
      <c r="N44" s="17" t="s">
        <v>88</v>
      </c>
      <c r="O44" s="24">
        <v>94.071428571428569</v>
      </c>
      <c r="P44" s="23">
        <v>9.9999999999999915E-4</v>
      </c>
      <c r="Q44" s="4">
        <v>6.1000000000000004E-3</v>
      </c>
      <c r="R44" s="4">
        <v>1.0999999999999999E-2</v>
      </c>
      <c r="S44" s="4">
        <v>1.4E-2</v>
      </c>
    </row>
    <row r="45" spans="1:19" ht="14.25" customHeight="1">
      <c r="A45" s="270" t="s">
        <v>94</v>
      </c>
      <c r="B45" s="17" t="s">
        <v>89</v>
      </c>
      <c r="C45" s="17" t="s">
        <v>138</v>
      </c>
      <c r="D45" s="245">
        <v>-51.939881870252066</v>
      </c>
      <c r="E45" s="245">
        <v>-23.422280000000004</v>
      </c>
      <c r="F45" s="18">
        <v>2006</v>
      </c>
      <c r="G45" s="19" t="s">
        <v>90</v>
      </c>
      <c r="H45" s="18" t="s">
        <v>177</v>
      </c>
      <c r="I45" s="17" t="s">
        <v>91</v>
      </c>
      <c r="J45" s="158" t="s">
        <v>92</v>
      </c>
      <c r="K45" s="158">
        <v>1200</v>
      </c>
      <c r="L45" s="158">
        <v>0.01</v>
      </c>
      <c r="M45" s="18" t="s">
        <v>80</v>
      </c>
      <c r="N45" s="17" t="s">
        <v>88</v>
      </c>
      <c r="O45" s="24">
        <v>85.825000000000003</v>
      </c>
      <c r="P45" s="23">
        <v>7.0000000000000097E-4</v>
      </c>
      <c r="Q45" s="4">
        <v>6.6499999999999997E-3</v>
      </c>
      <c r="R45" s="4">
        <v>1.174E-2</v>
      </c>
      <c r="S45" s="4">
        <v>1.485E-2</v>
      </c>
    </row>
    <row r="46" spans="1:19" ht="14.25" customHeight="1">
      <c r="A46" s="270" t="s">
        <v>94</v>
      </c>
      <c r="B46" s="17" t="s">
        <v>89</v>
      </c>
      <c r="C46" s="158" t="s">
        <v>139</v>
      </c>
      <c r="D46" s="155">
        <v>-48.351043708246195</v>
      </c>
      <c r="E46" s="155">
        <v>-10.16325332679275</v>
      </c>
      <c r="F46" s="18">
        <v>2006</v>
      </c>
      <c r="G46" s="19" t="s">
        <v>90</v>
      </c>
      <c r="H46" s="18" t="s">
        <v>177</v>
      </c>
      <c r="I46" s="17" t="s">
        <v>91</v>
      </c>
      <c r="J46" s="158" t="s">
        <v>92</v>
      </c>
      <c r="K46" s="158">
        <v>1800</v>
      </c>
      <c r="L46" s="158">
        <v>0.01</v>
      </c>
      <c r="M46" s="18" t="s">
        <v>80</v>
      </c>
      <c r="N46" s="17" t="s">
        <v>88</v>
      </c>
      <c r="O46" s="24">
        <v>80.416666666666671</v>
      </c>
      <c r="P46" s="23">
        <v>4.7999999999999952E-4</v>
      </c>
      <c r="Q46" s="4">
        <v>5.9300000000000004E-3</v>
      </c>
      <c r="R46" s="4">
        <v>9.6200000000000001E-3</v>
      </c>
      <c r="S46" s="4">
        <v>1.175E-2</v>
      </c>
    </row>
    <row r="47" spans="1:19" ht="14.25" customHeight="1">
      <c r="A47" s="270" t="s">
        <v>94</v>
      </c>
      <c r="B47" s="17" t="s">
        <v>89</v>
      </c>
      <c r="C47" s="17" t="s">
        <v>140</v>
      </c>
      <c r="D47" s="155">
        <v>-60.028266774190257</v>
      </c>
      <c r="E47" s="155">
        <v>1.0181116273912603</v>
      </c>
      <c r="F47" s="18">
        <v>2006</v>
      </c>
      <c r="G47" s="19" t="s">
        <v>90</v>
      </c>
      <c r="H47" s="18" t="s">
        <v>177</v>
      </c>
      <c r="I47" s="17" t="s">
        <v>91</v>
      </c>
      <c r="J47" s="158" t="s">
        <v>92</v>
      </c>
      <c r="K47" s="158">
        <v>1200</v>
      </c>
      <c r="L47" s="158">
        <v>0.01</v>
      </c>
      <c r="M47" s="18" t="s">
        <v>80</v>
      </c>
      <c r="N47" s="17" t="s">
        <v>88</v>
      </c>
      <c r="O47" s="24">
        <v>81.5</v>
      </c>
      <c r="P47" s="23">
        <v>8.0000000000000036E-4</v>
      </c>
      <c r="Q47" s="4">
        <v>7.7000000000000002E-3</v>
      </c>
      <c r="R47" s="4">
        <v>1.23E-2</v>
      </c>
      <c r="S47" s="4">
        <v>1.4999999999999999E-2</v>
      </c>
    </row>
    <row r="48" spans="1:19" ht="14.25" customHeight="1">
      <c r="A48" s="270" t="s">
        <v>94</v>
      </c>
      <c r="B48" s="17" t="s">
        <v>89</v>
      </c>
      <c r="C48" s="17" t="s">
        <v>14</v>
      </c>
      <c r="D48" s="155">
        <v>-38.589927555043182</v>
      </c>
      <c r="E48" s="155">
        <v>-3.7238050350000007</v>
      </c>
      <c r="F48" s="18">
        <v>2006</v>
      </c>
      <c r="G48" s="19" t="s">
        <v>90</v>
      </c>
      <c r="H48" s="18" t="s">
        <v>177</v>
      </c>
      <c r="I48" s="17" t="s">
        <v>91</v>
      </c>
      <c r="J48" s="158" t="s">
        <v>92</v>
      </c>
      <c r="K48" s="158">
        <v>2100</v>
      </c>
      <c r="L48" s="158">
        <v>0.01</v>
      </c>
      <c r="M48" s="18" t="s">
        <v>80</v>
      </c>
      <c r="N48" s="17" t="s">
        <v>88</v>
      </c>
      <c r="O48" s="24">
        <v>70.414285714285711</v>
      </c>
      <c r="P48" s="105">
        <v>1.0000000000000009E-3</v>
      </c>
      <c r="Q48" s="4">
        <v>9.4000000000000004E-3</v>
      </c>
      <c r="R48" s="4">
        <v>1.4E-2</v>
      </c>
      <c r="S48" s="4">
        <v>1.7000000000000001E-2</v>
      </c>
    </row>
    <row r="49" spans="1:19" ht="14.25" customHeight="1" thickBot="1">
      <c r="A49" s="11" t="s">
        <v>94</v>
      </c>
      <c r="B49" s="21" t="s">
        <v>89</v>
      </c>
      <c r="C49" s="21" t="s">
        <v>12</v>
      </c>
      <c r="D49" s="156">
        <v>-38.589927555043182</v>
      </c>
      <c r="E49" s="156">
        <v>-3.7238050350000007</v>
      </c>
      <c r="F49" s="21">
        <v>2006</v>
      </c>
      <c r="G49" s="22" t="s">
        <v>90</v>
      </c>
      <c r="H49" s="21" t="s">
        <v>177</v>
      </c>
      <c r="I49" s="21" t="s">
        <v>91</v>
      </c>
      <c r="J49" s="11" t="s">
        <v>92</v>
      </c>
      <c r="K49" s="11">
        <v>2100</v>
      </c>
      <c r="L49" s="11">
        <v>0.01</v>
      </c>
      <c r="M49" s="21" t="s">
        <v>80</v>
      </c>
      <c r="N49" s="21" t="s">
        <v>88</v>
      </c>
      <c r="O49" s="25">
        <v>68.099999999999994</v>
      </c>
      <c r="P49" s="106">
        <v>9.9999999999999915E-4</v>
      </c>
      <c r="Q49" s="29">
        <v>6.6E-3</v>
      </c>
      <c r="R49" s="29">
        <v>1.2999999999999999E-2</v>
      </c>
      <c r="S49" s="29">
        <v>1.7000000000000001E-2</v>
      </c>
    </row>
    <row r="50" spans="1:19" ht="14.25" customHeight="1">
      <c r="A50" s="270" t="s">
        <v>94</v>
      </c>
      <c r="B50" s="17" t="s">
        <v>89</v>
      </c>
      <c r="C50" s="20" t="s">
        <v>124</v>
      </c>
      <c r="D50" s="261"/>
      <c r="E50" s="262"/>
      <c r="F50" s="18">
        <v>2006</v>
      </c>
      <c r="G50" s="19" t="s">
        <v>90</v>
      </c>
      <c r="H50" s="18" t="s">
        <v>177</v>
      </c>
      <c r="I50" s="17" t="s">
        <v>91</v>
      </c>
      <c r="J50" s="158" t="s">
        <v>93</v>
      </c>
      <c r="K50" s="158">
        <v>1200</v>
      </c>
      <c r="L50" s="158">
        <v>0.2</v>
      </c>
      <c r="M50" s="18" t="s">
        <v>80</v>
      </c>
      <c r="N50" s="17" t="s">
        <v>88</v>
      </c>
      <c r="O50" s="76">
        <v>100</v>
      </c>
      <c r="P50" s="23">
        <v>4.4000000000000011E-3</v>
      </c>
      <c r="Q50" s="4">
        <v>4.0500000000000001E-2</v>
      </c>
      <c r="R50" s="4">
        <v>7.5800000000000006E-2</v>
      </c>
      <c r="S50" s="4">
        <v>9.8199999999999996E-2</v>
      </c>
    </row>
    <row r="51" spans="1:19" ht="14.25" customHeight="1">
      <c r="A51" s="270" t="s">
        <v>94</v>
      </c>
      <c r="B51" s="17" t="s">
        <v>89</v>
      </c>
      <c r="C51" s="158" t="s">
        <v>100</v>
      </c>
      <c r="D51" s="109">
        <v>-50.439226072752597</v>
      </c>
      <c r="E51" s="109">
        <v>-21.205476000000004</v>
      </c>
      <c r="F51" s="18">
        <v>2006</v>
      </c>
      <c r="G51" s="19" t="s">
        <v>90</v>
      </c>
      <c r="H51" s="18" t="s">
        <v>177</v>
      </c>
      <c r="I51" s="17" t="s">
        <v>91</v>
      </c>
      <c r="J51" s="158" t="s">
        <v>93</v>
      </c>
      <c r="K51" s="18">
        <v>1800</v>
      </c>
      <c r="L51" s="158">
        <v>0.2</v>
      </c>
      <c r="M51" s="18" t="s">
        <v>80</v>
      </c>
      <c r="N51" s="17" t="s">
        <v>88</v>
      </c>
      <c r="O51" s="10">
        <v>98.333333333333329</v>
      </c>
      <c r="P51" s="23">
        <v>1.3000000000000012E-2</v>
      </c>
      <c r="Q51" s="4">
        <v>8.2290000000000002E-2</v>
      </c>
      <c r="R51" s="4">
        <v>0.16300000000000001</v>
      </c>
      <c r="S51" s="4">
        <v>0.217</v>
      </c>
    </row>
    <row r="52" spans="1:19" ht="14.25" customHeight="1">
      <c r="A52" s="270" t="s">
        <v>94</v>
      </c>
      <c r="B52" s="17" t="s">
        <v>89</v>
      </c>
      <c r="C52" s="158" t="s">
        <v>101</v>
      </c>
      <c r="D52" s="109">
        <v>-48.567377839455055</v>
      </c>
      <c r="E52" s="109">
        <v>-20.558455515000002</v>
      </c>
      <c r="F52" s="18">
        <v>2006</v>
      </c>
      <c r="G52" s="19" t="s">
        <v>90</v>
      </c>
      <c r="H52" s="18" t="s">
        <v>177</v>
      </c>
      <c r="I52" s="17" t="s">
        <v>91</v>
      </c>
      <c r="J52" s="158" t="s">
        <v>93</v>
      </c>
      <c r="K52" s="18">
        <v>1500</v>
      </c>
      <c r="L52" s="158">
        <v>0.2</v>
      </c>
      <c r="M52" s="18" t="s">
        <v>80</v>
      </c>
      <c r="N52" s="17" t="s">
        <v>88</v>
      </c>
      <c r="O52" s="10">
        <v>98.8</v>
      </c>
      <c r="P52" s="23">
        <v>9.999999999999995E-3</v>
      </c>
      <c r="Q52" s="4">
        <v>6.5000000000000002E-2</v>
      </c>
      <c r="R52" s="4">
        <v>0.11</v>
      </c>
      <c r="S52" s="4">
        <v>0.13</v>
      </c>
    </row>
    <row r="53" spans="1:19" ht="14.25" customHeight="1">
      <c r="A53" s="270" t="s">
        <v>94</v>
      </c>
      <c r="B53" s="17" t="s">
        <v>89</v>
      </c>
      <c r="C53" s="158" t="s">
        <v>102</v>
      </c>
      <c r="D53" s="109">
        <v>-49.083000867090362</v>
      </c>
      <c r="E53" s="109">
        <v>-22.325122500000006</v>
      </c>
      <c r="F53" s="18">
        <v>2006</v>
      </c>
      <c r="G53" s="19" t="s">
        <v>90</v>
      </c>
      <c r="H53" s="18" t="s">
        <v>177</v>
      </c>
      <c r="I53" s="17" t="s">
        <v>91</v>
      </c>
      <c r="J53" s="158" t="s">
        <v>93</v>
      </c>
      <c r="K53" s="18">
        <v>1200</v>
      </c>
      <c r="L53" s="158">
        <v>0.2</v>
      </c>
      <c r="M53" s="18" t="s">
        <v>80</v>
      </c>
      <c r="N53" s="17" t="s">
        <v>88</v>
      </c>
      <c r="O53" s="10">
        <v>99.875</v>
      </c>
      <c r="P53" s="23">
        <v>3.0000000000000027E-3</v>
      </c>
      <c r="Q53" s="4">
        <v>0.05</v>
      </c>
      <c r="R53" s="4">
        <v>0.1</v>
      </c>
      <c r="S53" s="4">
        <v>0.14000000000000001</v>
      </c>
    </row>
    <row r="54" spans="1:19" ht="14.25" customHeight="1">
      <c r="A54" s="270" t="s">
        <v>94</v>
      </c>
      <c r="B54" s="17" t="s">
        <v>89</v>
      </c>
      <c r="C54" s="158" t="s">
        <v>103</v>
      </c>
      <c r="D54" s="109">
        <v>-48.441289384350434</v>
      </c>
      <c r="E54" s="109">
        <v>-22.888381500000008</v>
      </c>
      <c r="F54" s="18">
        <v>2006</v>
      </c>
      <c r="G54" s="19" t="s">
        <v>90</v>
      </c>
      <c r="H54" s="18" t="s">
        <v>177</v>
      </c>
      <c r="I54" s="17" t="s">
        <v>91</v>
      </c>
      <c r="J54" s="158" t="s">
        <v>93</v>
      </c>
      <c r="K54" s="18">
        <v>1200</v>
      </c>
      <c r="L54" s="158">
        <v>0.2</v>
      </c>
      <c r="M54" s="18" t="s">
        <v>80</v>
      </c>
      <c r="N54" s="17" t="s">
        <v>88</v>
      </c>
      <c r="O54" s="10">
        <v>99.625</v>
      </c>
      <c r="P54" s="23">
        <v>1.0000000000000009E-2</v>
      </c>
      <c r="Q54" s="4">
        <v>7.0999999999999994E-2</v>
      </c>
      <c r="R54" s="4">
        <v>0.13</v>
      </c>
      <c r="S54" s="4">
        <v>0.16</v>
      </c>
    </row>
    <row r="55" spans="1:19" ht="14.25" customHeight="1">
      <c r="A55" s="270" t="s">
        <v>94</v>
      </c>
      <c r="B55" s="17" t="s">
        <v>89</v>
      </c>
      <c r="C55" s="158" t="s">
        <v>106</v>
      </c>
      <c r="D55" s="109">
        <v>-46.933372863488053</v>
      </c>
      <c r="E55" s="109">
        <v>-23.546934000000004</v>
      </c>
      <c r="F55" s="18">
        <v>2006</v>
      </c>
      <c r="G55" s="19" t="s">
        <v>90</v>
      </c>
      <c r="H55" s="17" t="s">
        <v>177</v>
      </c>
      <c r="I55" s="17" t="s">
        <v>91</v>
      </c>
      <c r="J55" s="158" t="s">
        <v>93</v>
      </c>
      <c r="K55" s="18">
        <v>1500</v>
      </c>
      <c r="L55" s="158">
        <v>0.2</v>
      </c>
      <c r="M55" s="18" t="s">
        <v>80</v>
      </c>
      <c r="N55" s="17" t="s">
        <v>88</v>
      </c>
      <c r="O55" s="10">
        <v>99.8</v>
      </c>
      <c r="P55" s="23">
        <v>1.0000000000000009E-2</v>
      </c>
      <c r="Q55" s="4">
        <v>6.3E-2</v>
      </c>
      <c r="R55" s="4">
        <v>0.13</v>
      </c>
      <c r="S55" s="4">
        <v>0.18</v>
      </c>
    </row>
    <row r="56" spans="1:19" ht="14.25" customHeight="1">
      <c r="A56" s="270" t="s">
        <v>94</v>
      </c>
      <c r="B56" s="17" t="s">
        <v>89</v>
      </c>
      <c r="C56" s="158" t="s">
        <v>130</v>
      </c>
      <c r="D56" s="109">
        <v>-46.905221141741073</v>
      </c>
      <c r="E56" s="109">
        <v>-23.529939000000002</v>
      </c>
      <c r="F56" s="18">
        <v>2006</v>
      </c>
      <c r="G56" s="19" t="s">
        <v>90</v>
      </c>
      <c r="H56" s="17" t="s">
        <v>177</v>
      </c>
      <c r="I56" s="17" t="s">
        <v>91</v>
      </c>
      <c r="J56" s="158" t="s">
        <v>93</v>
      </c>
      <c r="K56" s="18">
        <v>1200</v>
      </c>
      <c r="L56" s="158">
        <v>0.2</v>
      </c>
      <c r="M56" s="18" t="s">
        <v>80</v>
      </c>
      <c r="N56" s="17" t="s">
        <v>88</v>
      </c>
      <c r="O56" s="5">
        <v>100</v>
      </c>
      <c r="P56" s="23">
        <v>1.5699999999999992E-2</v>
      </c>
      <c r="Q56" s="4">
        <v>7.1400000000000005E-2</v>
      </c>
      <c r="R56" s="4">
        <v>0.15570000000000001</v>
      </c>
      <c r="S56" s="4">
        <v>0.215</v>
      </c>
    </row>
    <row r="57" spans="1:19" ht="14.25" customHeight="1">
      <c r="A57" s="270" t="s">
        <v>94</v>
      </c>
      <c r="B57" s="17" t="s">
        <v>89</v>
      </c>
      <c r="C57" s="158" t="s">
        <v>108</v>
      </c>
      <c r="D57" s="109">
        <v>-51.386765581912492</v>
      </c>
      <c r="E57" s="109">
        <v>-24.494251427999906</v>
      </c>
      <c r="F57" s="18">
        <v>2006</v>
      </c>
      <c r="G57" s="19" t="s">
        <v>90</v>
      </c>
      <c r="H57" s="17" t="s">
        <v>177</v>
      </c>
      <c r="I57" s="17" t="s">
        <v>91</v>
      </c>
      <c r="J57" s="158" t="s">
        <v>93</v>
      </c>
      <c r="K57" s="18">
        <v>1200</v>
      </c>
      <c r="L57" s="158">
        <v>0.2</v>
      </c>
      <c r="M57" s="18" t="s">
        <v>80</v>
      </c>
      <c r="N57" s="17" t="s">
        <v>88</v>
      </c>
      <c r="O57" s="10">
        <v>99.25</v>
      </c>
      <c r="P57" s="23">
        <v>1.0000000000000009E-2</v>
      </c>
      <c r="Q57" s="4">
        <v>8.8999999999999996E-2</v>
      </c>
      <c r="R57" s="4">
        <v>0.16</v>
      </c>
      <c r="S57" s="4">
        <v>0.21</v>
      </c>
    </row>
    <row r="58" spans="1:19" ht="14.25" customHeight="1">
      <c r="A58" s="270" t="s">
        <v>94</v>
      </c>
      <c r="B58" s="17" t="s">
        <v>89</v>
      </c>
      <c r="C58" s="158" t="s">
        <v>109</v>
      </c>
      <c r="D58" s="109">
        <v>-47.805475915541528</v>
      </c>
      <c r="E58" s="109">
        <v>-21.184834500000004</v>
      </c>
      <c r="F58" s="18">
        <v>2006</v>
      </c>
      <c r="G58" s="19" t="s">
        <v>90</v>
      </c>
      <c r="H58" s="17" t="s">
        <v>177</v>
      </c>
      <c r="I58" s="17" t="s">
        <v>91</v>
      </c>
      <c r="J58" s="158" t="s">
        <v>93</v>
      </c>
      <c r="K58" s="18">
        <v>1200</v>
      </c>
      <c r="L58" s="158">
        <v>0.2</v>
      </c>
      <c r="M58" s="18" t="s">
        <v>80</v>
      </c>
      <c r="N58" s="17" t="s">
        <v>88</v>
      </c>
      <c r="O58" s="10">
        <v>99.625</v>
      </c>
      <c r="P58" s="23">
        <v>1.0000000000000009E-2</v>
      </c>
      <c r="Q58" s="4">
        <v>6.0999999999999999E-2</v>
      </c>
      <c r="R58" s="4">
        <v>0.13</v>
      </c>
      <c r="S58" s="4">
        <v>0.18</v>
      </c>
    </row>
    <row r="59" spans="1:19" ht="14.25" customHeight="1">
      <c r="A59" s="270" t="s">
        <v>94</v>
      </c>
      <c r="B59" s="17" t="s">
        <v>89</v>
      </c>
      <c r="C59" s="158" t="s">
        <v>110</v>
      </c>
      <c r="D59" s="109">
        <v>-46.331370849190684</v>
      </c>
      <c r="E59" s="109">
        <v>-23.933737500000003</v>
      </c>
      <c r="F59" s="18">
        <v>2006</v>
      </c>
      <c r="G59" s="19" t="s">
        <v>90</v>
      </c>
      <c r="H59" s="17" t="s">
        <v>177</v>
      </c>
      <c r="I59" s="17" t="s">
        <v>91</v>
      </c>
      <c r="J59" s="158" t="s">
        <v>93</v>
      </c>
      <c r="K59" s="18">
        <v>1200</v>
      </c>
      <c r="L59" s="158">
        <v>0.2</v>
      </c>
      <c r="M59" s="18" t="s">
        <v>80</v>
      </c>
      <c r="N59" s="17" t="s">
        <v>88</v>
      </c>
      <c r="O59" s="10">
        <v>99.7</v>
      </c>
      <c r="P59" s="23">
        <v>9.5999999999999974E-3</v>
      </c>
      <c r="Q59" s="4">
        <v>6.6500000000000004E-2</v>
      </c>
      <c r="R59" s="4">
        <v>0.1396</v>
      </c>
      <c r="S59" s="4">
        <v>0.18970000000000001</v>
      </c>
    </row>
    <row r="60" spans="1:19" ht="14.25" customHeight="1">
      <c r="A60" s="270" t="s">
        <v>94</v>
      </c>
      <c r="B60" s="17" t="s">
        <v>89</v>
      </c>
      <c r="C60" s="158" t="s">
        <v>111</v>
      </c>
      <c r="D60" s="109">
        <v>-47.889237684691636</v>
      </c>
      <c r="E60" s="109">
        <v>-22.015998500000002</v>
      </c>
      <c r="F60" s="18">
        <v>2006</v>
      </c>
      <c r="G60" s="19" t="s">
        <v>90</v>
      </c>
      <c r="H60" s="17" t="s">
        <v>177</v>
      </c>
      <c r="I60" s="17" t="s">
        <v>91</v>
      </c>
      <c r="J60" s="158" t="s">
        <v>93</v>
      </c>
      <c r="K60" s="18">
        <v>1200</v>
      </c>
      <c r="L60" s="158">
        <v>0.2</v>
      </c>
      <c r="M60" s="18" t="s">
        <v>80</v>
      </c>
      <c r="N60" s="17" t="s">
        <v>88</v>
      </c>
      <c r="O60" s="5">
        <v>100</v>
      </c>
      <c r="P60" s="23">
        <v>1.0000000000000009E-2</v>
      </c>
      <c r="Q60" s="4">
        <v>6.9000000000000006E-2</v>
      </c>
      <c r="R60" s="4">
        <v>0.13</v>
      </c>
      <c r="S60" s="4">
        <v>0.16</v>
      </c>
    </row>
    <row r="61" spans="1:19" ht="14.25" customHeight="1">
      <c r="A61" s="270" t="s">
        <v>94</v>
      </c>
      <c r="B61" s="17" t="s">
        <v>89</v>
      </c>
      <c r="C61" s="158" t="s">
        <v>131</v>
      </c>
      <c r="D61" s="109">
        <v>-49.381347685025794</v>
      </c>
      <c r="E61" s="109">
        <v>-20.812636500000004</v>
      </c>
      <c r="F61" s="18">
        <v>2006</v>
      </c>
      <c r="G61" s="19" t="s">
        <v>90</v>
      </c>
      <c r="H61" s="17" t="s">
        <v>177</v>
      </c>
      <c r="I61" s="17" t="s">
        <v>91</v>
      </c>
      <c r="J61" s="158" t="s">
        <v>93</v>
      </c>
      <c r="K61" s="18">
        <v>1200</v>
      </c>
      <c r="L61" s="158">
        <v>0.2</v>
      </c>
      <c r="M61" s="18" t="s">
        <v>80</v>
      </c>
      <c r="N61" s="17" t="s">
        <v>88</v>
      </c>
      <c r="O61" s="10">
        <v>99.75</v>
      </c>
      <c r="P61" s="23">
        <v>9.999999999999995E-3</v>
      </c>
      <c r="Q61" s="4">
        <v>6.9000000000000006E-2</v>
      </c>
      <c r="R61" s="4">
        <v>0.11</v>
      </c>
      <c r="S61" s="4">
        <v>0.13</v>
      </c>
    </row>
    <row r="62" spans="1:19" ht="14.25" customHeight="1">
      <c r="A62" s="270" t="s">
        <v>94</v>
      </c>
      <c r="B62" s="17" t="s">
        <v>89</v>
      </c>
      <c r="C62" s="158" t="s">
        <v>113</v>
      </c>
      <c r="D62" s="109">
        <v>-45.402680140543957</v>
      </c>
      <c r="E62" s="109">
        <v>-23.806687652148753</v>
      </c>
      <c r="F62" s="18">
        <v>2006</v>
      </c>
      <c r="G62" s="19" t="s">
        <v>90</v>
      </c>
      <c r="H62" s="17" t="s">
        <v>177</v>
      </c>
      <c r="I62" s="17" t="s">
        <v>91</v>
      </c>
      <c r="J62" s="158" t="s">
        <v>93</v>
      </c>
      <c r="K62" s="18">
        <v>1500</v>
      </c>
      <c r="L62" s="158">
        <v>0.2</v>
      </c>
      <c r="M62" s="18" t="s">
        <v>80</v>
      </c>
      <c r="N62" s="17" t="s">
        <v>88</v>
      </c>
      <c r="O62" s="10">
        <v>97.8</v>
      </c>
      <c r="P62" s="23">
        <v>1.1999999999999983E-2</v>
      </c>
      <c r="Q62" s="4">
        <v>9.7600000000000006E-2</v>
      </c>
      <c r="R62" s="4">
        <v>0.17399999999999999</v>
      </c>
      <c r="S62" s="4">
        <v>0.22</v>
      </c>
    </row>
    <row r="63" spans="1:19" ht="14.25" customHeight="1">
      <c r="A63" s="270" t="s">
        <v>94</v>
      </c>
      <c r="B63" s="17" t="s">
        <v>89</v>
      </c>
      <c r="C63" s="17" t="s">
        <v>13</v>
      </c>
      <c r="D63" s="109">
        <v>-38.589927555043182</v>
      </c>
      <c r="E63" s="109">
        <v>-3.7238050350000007</v>
      </c>
      <c r="F63" s="18">
        <v>2006</v>
      </c>
      <c r="G63" s="19" t="s">
        <v>90</v>
      </c>
      <c r="H63" s="17" t="s">
        <v>177</v>
      </c>
      <c r="I63" s="17" t="s">
        <v>91</v>
      </c>
      <c r="J63" s="158" t="s">
        <v>93</v>
      </c>
      <c r="K63" s="18">
        <v>1200</v>
      </c>
      <c r="L63" s="158">
        <v>0.2</v>
      </c>
      <c r="M63" s="18" t="s">
        <v>80</v>
      </c>
      <c r="N63" s="17" t="s">
        <v>88</v>
      </c>
      <c r="O63" s="158">
        <v>100</v>
      </c>
      <c r="P63" s="23">
        <v>1.0000000000000009E-2</v>
      </c>
      <c r="Q63" s="4">
        <v>7.2999999999999995E-2</v>
      </c>
      <c r="R63" s="4">
        <v>0.13</v>
      </c>
      <c r="S63" s="4">
        <v>0.16</v>
      </c>
    </row>
    <row r="64" spans="1:19" ht="14.25" customHeight="1">
      <c r="A64" s="270" t="s">
        <v>94</v>
      </c>
      <c r="B64" s="17" t="s">
        <v>89</v>
      </c>
      <c r="C64" s="17" t="s">
        <v>136</v>
      </c>
      <c r="D64" s="109">
        <v>-48.208705251855818</v>
      </c>
      <c r="E64" s="109">
        <v>-7.191328939654956</v>
      </c>
      <c r="F64" s="18">
        <v>2006</v>
      </c>
      <c r="G64" s="19" t="s">
        <v>90</v>
      </c>
      <c r="H64" s="17" t="s">
        <v>177</v>
      </c>
      <c r="I64" s="17" t="s">
        <v>91</v>
      </c>
      <c r="J64" s="158" t="s">
        <v>93</v>
      </c>
      <c r="K64" s="18">
        <v>1200</v>
      </c>
      <c r="L64" s="158">
        <v>0.2</v>
      </c>
      <c r="M64" s="18" t="s">
        <v>80</v>
      </c>
      <c r="N64" s="17" t="s">
        <v>88</v>
      </c>
      <c r="O64" s="5">
        <v>100</v>
      </c>
      <c r="P64" s="23">
        <v>6.0999999999999943E-3</v>
      </c>
      <c r="Q64" s="4">
        <v>7.9000000000000001E-2</v>
      </c>
      <c r="R64" s="4">
        <v>0.1201</v>
      </c>
      <c r="S64" s="4">
        <v>0.14280000000000001</v>
      </c>
    </row>
    <row r="65" spans="1:19" ht="14.25" customHeight="1">
      <c r="A65" s="270" t="s">
        <v>94</v>
      </c>
      <c r="B65" s="17" t="s">
        <v>89</v>
      </c>
      <c r="C65" s="17" t="s">
        <v>28</v>
      </c>
      <c r="D65" s="155">
        <v>-38.589927555043182</v>
      </c>
      <c r="E65" s="155">
        <v>-3.7238050350000007</v>
      </c>
      <c r="F65" s="18">
        <v>2006</v>
      </c>
      <c r="G65" s="19" t="s">
        <v>90</v>
      </c>
      <c r="H65" s="17" t="s">
        <v>177</v>
      </c>
      <c r="I65" s="17" t="s">
        <v>91</v>
      </c>
      <c r="J65" s="158" t="s">
        <v>93</v>
      </c>
      <c r="K65" s="18">
        <v>1500</v>
      </c>
      <c r="L65" s="158">
        <v>0.2</v>
      </c>
      <c r="M65" s="18" t="s">
        <v>80</v>
      </c>
      <c r="N65" s="17" t="s">
        <v>88</v>
      </c>
      <c r="O65" s="5">
        <v>100</v>
      </c>
      <c r="P65" s="23">
        <v>1.0000000000000009E-2</v>
      </c>
      <c r="Q65" s="4">
        <v>7.9000000000000001E-2</v>
      </c>
      <c r="R65" s="4">
        <v>0.13</v>
      </c>
      <c r="S65" s="4">
        <v>0.16</v>
      </c>
    </row>
    <row r="66" spans="1:19" ht="14.25" customHeight="1">
      <c r="A66" s="270" t="s">
        <v>94</v>
      </c>
      <c r="B66" s="17" t="s">
        <v>89</v>
      </c>
      <c r="C66" s="17" t="s">
        <v>146</v>
      </c>
      <c r="D66" s="155">
        <v>-54.5871024886046</v>
      </c>
      <c r="E66" s="155">
        <v>-25.542493279529253</v>
      </c>
      <c r="F66" s="18">
        <v>2006</v>
      </c>
      <c r="G66" s="19" t="s">
        <v>90</v>
      </c>
      <c r="H66" s="17" t="s">
        <v>177</v>
      </c>
      <c r="I66" s="17" t="s">
        <v>91</v>
      </c>
      <c r="J66" s="158" t="s">
        <v>93</v>
      </c>
      <c r="K66" s="18">
        <v>1200</v>
      </c>
      <c r="L66" s="158">
        <v>0.2</v>
      </c>
      <c r="M66" s="17" t="s">
        <v>80</v>
      </c>
      <c r="N66" s="17" t="s">
        <v>88</v>
      </c>
      <c r="O66" s="10">
        <v>99.875</v>
      </c>
      <c r="P66" s="23">
        <v>0</v>
      </c>
      <c r="Q66" s="4">
        <v>0.06</v>
      </c>
      <c r="R66" s="4">
        <v>0.08</v>
      </c>
      <c r="S66" s="4">
        <v>0.09</v>
      </c>
    </row>
    <row r="67" spans="1:19" ht="14.25" customHeight="1">
      <c r="A67" s="270" t="s">
        <v>94</v>
      </c>
      <c r="B67" s="17" t="s">
        <v>89</v>
      </c>
      <c r="C67" s="17" t="s">
        <v>29</v>
      </c>
      <c r="D67" s="155">
        <v>-38.589927555043182</v>
      </c>
      <c r="E67" s="155">
        <v>-3.7238050350000007</v>
      </c>
      <c r="F67" s="18">
        <v>2006</v>
      </c>
      <c r="G67" s="19" t="s">
        <v>90</v>
      </c>
      <c r="H67" s="17" t="s">
        <v>177</v>
      </c>
      <c r="I67" s="17" t="s">
        <v>91</v>
      </c>
      <c r="J67" s="158" t="s">
        <v>93</v>
      </c>
      <c r="K67" s="18">
        <v>1200</v>
      </c>
      <c r="L67" s="158">
        <v>0.2</v>
      </c>
      <c r="M67" s="17" t="s">
        <v>80</v>
      </c>
      <c r="N67" s="17" t="s">
        <v>88</v>
      </c>
      <c r="O67" s="10">
        <v>99.875</v>
      </c>
      <c r="P67" s="23">
        <v>1.0000000000000009E-2</v>
      </c>
      <c r="Q67" s="4">
        <v>7.0000000000000007E-2</v>
      </c>
      <c r="R67" s="4">
        <v>0.13</v>
      </c>
      <c r="S67" s="4">
        <v>0.16</v>
      </c>
    </row>
    <row r="68" spans="1:19" ht="14.25" customHeight="1">
      <c r="A68" s="270" t="s">
        <v>94</v>
      </c>
      <c r="B68" s="17" t="s">
        <v>89</v>
      </c>
      <c r="C68" s="17" t="s">
        <v>137</v>
      </c>
      <c r="D68" s="155">
        <v>-51.162773423878093</v>
      </c>
      <c r="E68" s="155">
        <v>-23.312156000000005</v>
      </c>
      <c r="F68" s="18">
        <v>2006</v>
      </c>
      <c r="G68" s="19" t="s">
        <v>90</v>
      </c>
      <c r="H68" s="17" t="s">
        <v>177</v>
      </c>
      <c r="I68" s="17" t="s">
        <v>91</v>
      </c>
      <c r="J68" s="158" t="s">
        <v>93</v>
      </c>
      <c r="K68" s="18">
        <v>1200</v>
      </c>
      <c r="L68" s="158">
        <v>0.2</v>
      </c>
      <c r="M68" s="17" t="s">
        <v>80</v>
      </c>
      <c r="N68" s="17" t="s">
        <v>88</v>
      </c>
      <c r="O68" s="158">
        <v>100</v>
      </c>
      <c r="P68" s="23">
        <v>1.0000000000000009E-2</v>
      </c>
      <c r="Q68" s="4">
        <v>8.1000000000000003E-2</v>
      </c>
      <c r="R68" s="4">
        <v>0.13</v>
      </c>
      <c r="S68" s="4">
        <v>0.16</v>
      </c>
    </row>
    <row r="69" spans="1:19" ht="14.25" customHeight="1">
      <c r="A69" s="270" t="s">
        <v>94</v>
      </c>
      <c r="B69" s="17" t="s">
        <v>89</v>
      </c>
      <c r="C69" s="17" t="s">
        <v>138</v>
      </c>
      <c r="D69" s="245">
        <v>-51.939881870252066</v>
      </c>
      <c r="E69" s="245">
        <v>-23.422280000000004</v>
      </c>
      <c r="F69" s="18">
        <v>2006</v>
      </c>
      <c r="G69" s="19" t="s">
        <v>90</v>
      </c>
      <c r="H69" s="17" t="s">
        <v>177</v>
      </c>
      <c r="I69" s="17" t="s">
        <v>91</v>
      </c>
      <c r="J69" s="158" t="s">
        <v>93</v>
      </c>
      <c r="K69" s="18">
        <v>1200</v>
      </c>
      <c r="L69" s="158">
        <v>0.2</v>
      </c>
      <c r="M69" s="17" t="s">
        <v>80</v>
      </c>
      <c r="N69" s="17" t="s">
        <v>88</v>
      </c>
      <c r="O69" s="10">
        <v>99.5</v>
      </c>
      <c r="P69" s="23">
        <v>5.9099999999999986E-3</v>
      </c>
      <c r="Q69" s="4">
        <v>6.9809999999999997E-2</v>
      </c>
      <c r="R69" s="4">
        <v>0.12213</v>
      </c>
      <c r="S69" s="4">
        <v>0.15398000000000001</v>
      </c>
    </row>
    <row r="70" spans="1:19" s="14" customFormat="1" ht="14.25" customHeight="1">
      <c r="A70" s="270" t="s">
        <v>94</v>
      </c>
      <c r="B70" s="17" t="s">
        <v>89</v>
      </c>
      <c r="C70" s="158" t="s">
        <v>139</v>
      </c>
      <c r="D70" s="155">
        <v>-48.351043708246195</v>
      </c>
      <c r="E70" s="155">
        <v>-10.16325332679275</v>
      </c>
      <c r="F70" s="18">
        <v>2006</v>
      </c>
      <c r="G70" s="19" t="s">
        <v>90</v>
      </c>
      <c r="H70" s="17" t="s">
        <v>177</v>
      </c>
      <c r="I70" s="17" t="s">
        <v>91</v>
      </c>
      <c r="J70" s="158" t="s">
        <v>93</v>
      </c>
      <c r="K70" s="18">
        <v>1500</v>
      </c>
      <c r="L70" s="158">
        <v>0.2</v>
      </c>
      <c r="M70" s="17" t="s">
        <v>80</v>
      </c>
      <c r="N70" s="17" t="s">
        <v>88</v>
      </c>
      <c r="O70" s="10">
        <v>99.9</v>
      </c>
      <c r="P70" s="23">
        <v>6.3E-3</v>
      </c>
      <c r="Q70" s="4">
        <v>6.7699999999999996E-2</v>
      </c>
      <c r="R70" s="4">
        <v>0.1053</v>
      </c>
      <c r="S70" s="4">
        <v>0.1265</v>
      </c>
    </row>
    <row r="71" spans="1:19" ht="14.25" customHeight="1">
      <c r="A71" s="270" t="s">
        <v>94</v>
      </c>
      <c r="B71" s="17" t="s">
        <v>89</v>
      </c>
      <c r="C71" s="17" t="s">
        <v>140</v>
      </c>
      <c r="D71" s="155">
        <v>-60.028266774190257</v>
      </c>
      <c r="E71" s="155">
        <v>1.0181116273912603</v>
      </c>
      <c r="F71" s="18">
        <v>2006</v>
      </c>
      <c r="G71" s="19" t="s">
        <v>90</v>
      </c>
      <c r="H71" s="17" t="s">
        <v>177</v>
      </c>
      <c r="I71" s="17" t="s">
        <v>91</v>
      </c>
      <c r="J71" s="158" t="s">
        <v>93</v>
      </c>
      <c r="K71" s="18">
        <v>1500</v>
      </c>
      <c r="L71" s="158">
        <v>0.2</v>
      </c>
      <c r="M71" s="17" t="s">
        <v>80</v>
      </c>
      <c r="N71" s="17" t="s">
        <v>88</v>
      </c>
      <c r="O71" s="10">
        <v>99.9</v>
      </c>
      <c r="P71" s="23">
        <v>7.9999999999999793E-3</v>
      </c>
      <c r="Q71" s="4">
        <v>8.5099999999999995E-2</v>
      </c>
      <c r="R71" s="4">
        <v>0.14299999999999999</v>
      </c>
      <c r="S71" s="4">
        <v>0.17799999999999999</v>
      </c>
    </row>
    <row r="72" spans="1:19" ht="14.25" customHeight="1">
      <c r="A72" s="270" t="s">
        <v>94</v>
      </c>
      <c r="B72" s="17" t="s">
        <v>89</v>
      </c>
      <c r="C72" s="17" t="s">
        <v>14</v>
      </c>
      <c r="D72" s="155">
        <v>-38.589927555043182</v>
      </c>
      <c r="E72" s="155">
        <v>-3.7238050350000007</v>
      </c>
      <c r="F72" s="18">
        <v>2006</v>
      </c>
      <c r="G72" s="19" t="s">
        <v>90</v>
      </c>
      <c r="H72" s="17" t="s">
        <v>177</v>
      </c>
      <c r="I72" s="17" t="s">
        <v>91</v>
      </c>
      <c r="J72" s="158" t="s">
        <v>93</v>
      </c>
      <c r="K72" s="18">
        <v>1200</v>
      </c>
      <c r="L72" s="158">
        <v>0.2</v>
      </c>
      <c r="M72" s="17" t="s">
        <v>80</v>
      </c>
      <c r="N72" s="17" t="s">
        <v>88</v>
      </c>
      <c r="O72" s="10">
        <v>99.625</v>
      </c>
      <c r="P72" s="23">
        <v>1.0000000000000009E-2</v>
      </c>
      <c r="Q72" s="4">
        <v>8.2000000000000003E-2</v>
      </c>
      <c r="R72" s="4">
        <v>0.16</v>
      </c>
      <c r="S72" s="4">
        <v>0.22</v>
      </c>
    </row>
    <row r="73" spans="1:19" ht="14.25" customHeight="1" thickBot="1">
      <c r="A73" s="11" t="s">
        <v>94</v>
      </c>
      <c r="B73" s="21" t="s">
        <v>89</v>
      </c>
      <c r="C73" s="21" t="s">
        <v>12</v>
      </c>
      <c r="D73" s="156">
        <v>-38.589927555043182</v>
      </c>
      <c r="E73" s="156">
        <v>-3.7238050350000007</v>
      </c>
      <c r="F73" s="21">
        <v>2006</v>
      </c>
      <c r="G73" s="22" t="s">
        <v>90</v>
      </c>
      <c r="H73" s="21" t="s">
        <v>177</v>
      </c>
      <c r="I73" s="21" t="s">
        <v>91</v>
      </c>
      <c r="J73" s="11" t="s">
        <v>93</v>
      </c>
      <c r="K73" s="21">
        <v>1200</v>
      </c>
      <c r="L73" s="11">
        <v>0.2</v>
      </c>
      <c r="M73" s="21" t="s">
        <v>80</v>
      </c>
      <c r="N73" s="21" t="s">
        <v>88</v>
      </c>
      <c r="O73" s="6">
        <v>100</v>
      </c>
      <c r="P73" s="29">
        <v>9.999999999999995E-3</v>
      </c>
      <c r="Q73" s="29">
        <v>5.6000000000000001E-2</v>
      </c>
      <c r="R73" s="29">
        <v>0.12</v>
      </c>
      <c r="S73" s="29">
        <v>0.16</v>
      </c>
    </row>
    <row r="74" spans="1:19" ht="14.25" customHeight="1">
      <c r="A74" s="270" t="s">
        <v>94</v>
      </c>
      <c r="B74" s="17" t="s">
        <v>89</v>
      </c>
      <c r="C74" s="20" t="s">
        <v>124</v>
      </c>
      <c r="D74" s="261"/>
      <c r="E74" s="262"/>
      <c r="F74" s="17">
        <v>2006</v>
      </c>
      <c r="G74" s="19" t="s">
        <v>90</v>
      </c>
      <c r="H74" s="17" t="s">
        <v>188</v>
      </c>
      <c r="I74" s="17" t="s">
        <v>91</v>
      </c>
      <c r="J74" s="1" t="s">
        <v>20</v>
      </c>
      <c r="K74" s="17">
        <v>600</v>
      </c>
      <c r="L74" s="10">
        <v>36.5</v>
      </c>
      <c r="M74" s="111" t="s">
        <v>50</v>
      </c>
      <c r="N74" s="17" t="s">
        <v>88</v>
      </c>
      <c r="O74" s="18">
        <v>100</v>
      </c>
      <c r="P74" s="24">
        <v>0</v>
      </c>
    </row>
    <row r="75" spans="1:19" ht="14.25" customHeight="1">
      <c r="A75" s="270" t="s">
        <v>94</v>
      </c>
      <c r="B75" s="17" t="s">
        <v>89</v>
      </c>
      <c r="C75" s="17" t="s">
        <v>100</v>
      </c>
      <c r="D75" s="109">
        <v>-50.439226072752597</v>
      </c>
      <c r="E75" s="109">
        <v>-21.205476000000004</v>
      </c>
      <c r="F75" s="17">
        <v>2006</v>
      </c>
      <c r="G75" s="19" t="s">
        <v>90</v>
      </c>
      <c r="H75" s="17" t="s">
        <v>188</v>
      </c>
      <c r="I75" s="17" t="s">
        <v>91</v>
      </c>
      <c r="J75" s="1" t="s">
        <v>20</v>
      </c>
      <c r="K75" s="158">
        <v>600</v>
      </c>
      <c r="L75" s="10">
        <v>73</v>
      </c>
      <c r="M75" s="111" t="s">
        <v>50</v>
      </c>
      <c r="N75" s="17" t="s">
        <v>88</v>
      </c>
      <c r="O75" s="24">
        <v>28.65</v>
      </c>
      <c r="P75" s="10">
        <v>12.398521417222836</v>
      </c>
    </row>
    <row r="76" spans="1:19" ht="14.25" customHeight="1">
      <c r="A76" s="270" t="s">
        <v>94</v>
      </c>
      <c r="B76" s="17" t="s">
        <v>89</v>
      </c>
      <c r="C76" s="158" t="s">
        <v>101</v>
      </c>
      <c r="D76" s="109">
        <v>-48.567377839455055</v>
      </c>
      <c r="E76" s="109">
        <v>-20.558455515000002</v>
      </c>
      <c r="F76" s="17">
        <v>2006</v>
      </c>
      <c r="G76" s="19" t="s">
        <v>90</v>
      </c>
      <c r="H76" s="17" t="s">
        <v>188</v>
      </c>
      <c r="I76" s="17" t="s">
        <v>91</v>
      </c>
      <c r="J76" s="1" t="s">
        <v>20</v>
      </c>
      <c r="K76" s="158">
        <v>750</v>
      </c>
      <c r="L76" s="10">
        <v>73</v>
      </c>
      <c r="M76" s="111" t="s">
        <v>50</v>
      </c>
      <c r="N76" s="17" t="s">
        <v>88</v>
      </c>
      <c r="O76" s="24">
        <v>20.8</v>
      </c>
      <c r="P76" s="10">
        <v>6.8727723663744325</v>
      </c>
    </row>
    <row r="77" spans="1:19" ht="14.25" customHeight="1">
      <c r="A77" s="270" t="s">
        <v>94</v>
      </c>
      <c r="B77" s="17" t="s">
        <v>89</v>
      </c>
      <c r="C77" s="17" t="s">
        <v>102</v>
      </c>
      <c r="D77" s="109">
        <v>-49.083000867090362</v>
      </c>
      <c r="E77" s="109">
        <v>-22.325122500000006</v>
      </c>
      <c r="F77" s="17">
        <v>2006</v>
      </c>
      <c r="G77" s="19" t="s">
        <v>90</v>
      </c>
      <c r="H77" s="17" t="s">
        <v>188</v>
      </c>
      <c r="I77" s="17" t="s">
        <v>91</v>
      </c>
      <c r="J77" s="1" t="s">
        <v>20</v>
      </c>
      <c r="K77" s="158">
        <v>600</v>
      </c>
      <c r="L77" s="10">
        <v>73</v>
      </c>
      <c r="M77" s="111" t="s">
        <v>50</v>
      </c>
      <c r="N77" s="17" t="s">
        <v>88</v>
      </c>
      <c r="O77" s="24">
        <v>67.474999999999994</v>
      </c>
      <c r="P77" s="10">
        <v>13.904765370188741</v>
      </c>
    </row>
    <row r="78" spans="1:19" ht="14.25" customHeight="1">
      <c r="A78" s="270" t="s">
        <v>94</v>
      </c>
      <c r="B78" s="17" t="s">
        <v>89</v>
      </c>
      <c r="C78" s="17" t="s">
        <v>103</v>
      </c>
      <c r="D78" s="109">
        <v>-48.441289384350434</v>
      </c>
      <c r="E78" s="109">
        <v>-22.888381500000008</v>
      </c>
      <c r="F78" s="17">
        <v>2006</v>
      </c>
      <c r="G78" s="19" t="s">
        <v>90</v>
      </c>
      <c r="H78" s="17" t="s">
        <v>188</v>
      </c>
      <c r="I78" s="17" t="s">
        <v>91</v>
      </c>
      <c r="J78" s="1" t="s">
        <v>20</v>
      </c>
      <c r="K78" s="158">
        <v>1050</v>
      </c>
      <c r="L78" s="10">
        <v>73</v>
      </c>
      <c r="M78" s="111" t="s">
        <v>50</v>
      </c>
      <c r="N78" s="17" t="s">
        <v>88</v>
      </c>
      <c r="O78" s="24">
        <v>70.842857142857142</v>
      </c>
      <c r="P78" s="10">
        <v>16.407707248206702</v>
      </c>
    </row>
    <row r="79" spans="1:19" ht="14.25" customHeight="1">
      <c r="A79" s="270" t="s">
        <v>94</v>
      </c>
      <c r="B79" s="17" t="s">
        <v>89</v>
      </c>
      <c r="C79" s="17" t="s">
        <v>106</v>
      </c>
      <c r="D79" s="109">
        <v>-46.933372863488053</v>
      </c>
      <c r="E79" s="109">
        <v>-23.546934000000004</v>
      </c>
      <c r="F79" s="17">
        <v>2006</v>
      </c>
      <c r="G79" s="19" t="s">
        <v>90</v>
      </c>
      <c r="H79" s="17" t="s">
        <v>188</v>
      </c>
      <c r="I79" s="17" t="s">
        <v>91</v>
      </c>
      <c r="J79" s="1" t="s">
        <v>20</v>
      </c>
      <c r="K79" s="158">
        <v>600</v>
      </c>
      <c r="L79" s="10">
        <v>73</v>
      </c>
      <c r="M79" s="111" t="s">
        <v>50</v>
      </c>
      <c r="N79" s="17" t="s">
        <v>88</v>
      </c>
      <c r="O79" s="24">
        <v>56.975000000000001</v>
      </c>
      <c r="P79" s="10">
        <v>4.9398886627129555</v>
      </c>
    </row>
    <row r="80" spans="1:19" ht="14.25" customHeight="1">
      <c r="A80" s="270" t="s">
        <v>94</v>
      </c>
      <c r="B80" s="17" t="s">
        <v>89</v>
      </c>
      <c r="C80" s="17" t="s">
        <v>130</v>
      </c>
      <c r="D80" s="109">
        <v>-46.905221141741073</v>
      </c>
      <c r="E80" s="109">
        <v>-23.529939000000002</v>
      </c>
      <c r="F80" s="17">
        <v>2006</v>
      </c>
      <c r="G80" s="19" t="s">
        <v>90</v>
      </c>
      <c r="H80" s="17" t="s">
        <v>188</v>
      </c>
      <c r="I80" s="17" t="s">
        <v>91</v>
      </c>
      <c r="J80" s="1" t="s">
        <v>20</v>
      </c>
      <c r="K80" s="158">
        <v>600</v>
      </c>
      <c r="L80" s="10">
        <v>73</v>
      </c>
      <c r="M80" s="111" t="s">
        <v>50</v>
      </c>
      <c r="N80" s="17" t="s">
        <v>88</v>
      </c>
      <c r="O80" s="24">
        <v>36.75</v>
      </c>
      <c r="P80" s="10">
        <v>9.9701220320181321</v>
      </c>
    </row>
    <row r="81" spans="1:16" ht="14.25" customHeight="1">
      <c r="A81" s="270" t="s">
        <v>94</v>
      </c>
      <c r="B81" s="17" t="s">
        <v>89</v>
      </c>
      <c r="C81" s="17" t="s">
        <v>108</v>
      </c>
      <c r="D81" s="109">
        <v>-51.386765581912492</v>
      </c>
      <c r="E81" s="109">
        <v>-24.494251427999906</v>
      </c>
      <c r="F81" s="17">
        <v>2006</v>
      </c>
      <c r="G81" s="19" t="s">
        <v>90</v>
      </c>
      <c r="H81" s="17" t="s">
        <v>188</v>
      </c>
      <c r="I81" s="17" t="s">
        <v>91</v>
      </c>
      <c r="J81" s="1" t="s">
        <v>20</v>
      </c>
      <c r="K81" s="158">
        <v>900</v>
      </c>
      <c r="L81" s="10">
        <v>73</v>
      </c>
      <c r="M81" s="111" t="s">
        <v>50</v>
      </c>
      <c r="N81" s="17" t="s">
        <v>88</v>
      </c>
      <c r="O81" s="24">
        <v>42.866666666666667</v>
      </c>
      <c r="P81" s="10">
        <v>19.634425549698843</v>
      </c>
    </row>
    <row r="82" spans="1:16" ht="14.25" customHeight="1">
      <c r="A82" s="270" t="s">
        <v>94</v>
      </c>
      <c r="B82" s="17" t="s">
        <v>89</v>
      </c>
      <c r="C82" s="17" t="s">
        <v>109</v>
      </c>
      <c r="D82" s="109">
        <v>-47.805475915541528</v>
      </c>
      <c r="E82" s="109">
        <v>-21.184834500000004</v>
      </c>
      <c r="F82" s="17">
        <v>2006</v>
      </c>
      <c r="G82" s="19" t="s">
        <v>90</v>
      </c>
      <c r="H82" s="17" t="s">
        <v>188</v>
      </c>
      <c r="I82" s="17" t="s">
        <v>91</v>
      </c>
      <c r="J82" s="1" t="s">
        <v>20</v>
      </c>
      <c r="K82" s="158">
        <v>600</v>
      </c>
      <c r="L82" s="10">
        <v>73</v>
      </c>
      <c r="M82" s="111" t="s">
        <v>50</v>
      </c>
      <c r="N82" s="17" t="s">
        <v>88</v>
      </c>
      <c r="O82" s="24">
        <v>58.400000000000006</v>
      </c>
      <c r="P82" s="10">
        <v>18.656008862204832</v>
      </c>
    </row>
    <row r="83" spans="1:16" ht="14.25" customHeight="1">
      <c r="A83" s="270" t="s">
        <v>94</v>
      </c>
      <c r="B83" s="17" t="s">
        <v>89</v>
      </c>
      <c r="C83" s="17" t="s">
        <v>110</v>
      </c>
      <c r="D83" s="109">
        <v>-46.331370849190684</v>
      </c>
      <c r="E83" s="109">
        <v>-23.933737500000003</v>
      </c>
      <c r="F83" s="17">
        <v>2006</v>
      </c>
      <c r="G83" s="19" t="s">
        <v>90</v>
      </c>
      <c r="H83" s="17" t="s">
        <v>188</v>
      </c>
      <c r="I83" s="17" t="s">
        <v>91</v>
      </c>
      <c r="J83" s="1" t="s">
        <v>20</v>
      </c>
      <c r="K83" s="158">
        <v>600</v>
      </c>
      <c r="L83" s="10">
        <v>73</v>
      </c>
      <c r="M83" s="111" t="s">
        <v>50</v>
      </c>
      <c r="N83" s="17" t="s">
        <v>88</v>
      </c>
      <c r="O83" s="24">
        <v>45.95</v>
      </c>
      <c r="P83" s="10">
        <v>9.1054928477266106</v>
      </c>
    </row>
    <row r="84" spans="1:16" ht="14.25" customHeight="1">
      <c r="A84" s="270" t="s">
        <v>94</v>
      </c>
      <c r="B84" s="17" t="s">
        <v>89</v>
      </c>
      <c r="C84" s="17" t="s">
        <v>111</v>
      </c>
      <c r="D84" s="109">
        <v>-47.889237684691636</v>
      </c>
      <c r="E84" s="109">
        <v>-22.015998500000002</v>
      </c>
      <c r="F84" s="17">
        <v>2006</v>
      </c>
      <c r="G84" s="19" t="s">
        <v>90</v>
      </c>
      <c r="H84" s="17" t="s">
        <v>188</v>
      </c>
      <c r="I84" s="17" t="s">
        <v>91</v>
      </c>
      <c r="J84" s="1" t="s">
        <v>20</v>
      </c>
      <c r="K84" s="158">
        <v>750</v>
      </c>
      <c r="L84" s="10">
        <v>73</v>
      </c>
      <c r="M84" s="111" t="s">
        <v>50</v>
      </c>
      <c r="N84" s="17" t="s">
        <v>88</v>
      </c>
      <c r="O84" s="24">
        <v>59.6</v>
      </c>
      <c r="P84" s="10">
        <v>7.1923570545406372</v>
      </c>
    </row>
    <row r="85" spans="1:16" ht="14.25" customHeight="1">
      <c r="A85" s="270" t="s">
        <v>94</v>
      </c>
      <c r="B85" s="17" t="s">
        <v>89</v>
      </c>
      <c r="C85" s="17" t="s">
        <v>131</v>
      </c>
      <c r="D85" s="109">
        <v>-49.381347685025794</v>
      </c>
      <c r="E85" s="109">
        <v>-20.812636500000004</v>
      </c>
      <c r="F85" s="17">
        <v>2006</v>
      </c>
      <c r="G85" s="19" t="s">
        <v>90</v>
      </c>
      <c r="H85" s="17" t="s">
        <v>188</v>
      </c>
      <c r="I85" s="17" t="s">
        <v>91</v>
      </c>
      <c r="J85" s="1" t="s">
        <v>20</v>
      </c>
      <c r="K85" s="158">
        <v>600</v>
      </c>
      <c r="L85" s="10">
        <v>73</v>
      </c>
      <c r="M85" s="111" t="s">
        <v>50</v>
      </c>
      <c r="N85" s="17" t="s">
        <v>88</v>
      </c>
      <c r="O85" s="24">
        <v>54.475000000000001</v>
      </c>
      <c r="P85" s="10">
        <v>12.718850839076081</v>
      </c>
    </row>
    <row r="86" spans="1:16" ht="14.25" customHeight="1">
      <c r="A86" s="270" t="s">
        <v>94</v>
      </c>
      <c r="B86" s="17" t="s">
        <v>89</v>
      </c>
      <c r="C86" s="17" t="s">
        <v>113</v>
      </c>
      <c r="D86" s="109">
        <v>-45.402680140543957</v>
      </c>
      <c r="E86" s="109">
        <v>-23.806687652148753</v>
      </c>
      <c r="F86" s="17">
        <v>2006</v>
      </c>
      <c r="G86" s="19" t="s">
        <v>90</v>
      </c>
      <c r="H86" s="17" t="s">
        <v>188</v>
      </c>
      <c r="I86" s="17" t="s">
        <v>91</v>
      </c>
      <c r="J86" s="1" t="s">
        <v>20</v>
      </c>
      <c r="K86" s="158">
        <v>900</v>
      </c>
      <c r="L86" s="10">
        <v>73</v>
      </c>
      <c r="M86" s="111" t="s">
        <v>50</v>
      </c>
      <c r="N86" s="17" t="s">
        <v>88</v>
      </c>
      <c r="O86" s="24">
        <v>31.966666666666669</v>
      </c>
      <c r="P86" s="24">
        <v>17.002901713139039</v>
      </c>
    </row>
    <row r="87" spans="1:16" ht="14.25" customHeight="1">
      <c r="A87" s="270" t="s">
        <v>94</v>
      </c>
      <c r="B87" s="17" t="s">
        <v>89</v>
      </c>
      <c r="C87" s="17" t="s">
        <v>136</v>
      </c>
      <c r="D87" s="109">
        <v>-48.208705251855818</v>
      </c>
      <c r="E87" s="109">
        <v>-7.191328939654956</v>
      </c>
      <c r="F87" s="17">
        <v>2006</v>
      </c>
      <c r="G87" s="19" t="s">
        <v>90</v>
      </c>
      <c r="H87" s="17" t="s">
        <v>188</v>
      </c>
      <c r="I87" s="17" t="s">
        <v>91</v>
      </c>
      <c r="J87" s="1" t="s">
        <v>20</v>
      </c>
      <c r="K87" s="158">
        <v>900</v>
      </c>
      <c r="L87" s="10">
        <v>73</v>
      </c>
      <c r="M87" s="111" t="s">
        <v>50</v>
      </c>
      <c r="N87" s="17" t="s">
        <v>88</v>
      </c>
      <c r="O87" s="24">
        <v>40.416666666666664</v>
      </c>
      <c r="P87" s="10">
        <v>24.652498183078059</v>
      </c>
    </row>
    <row r="88" spans="1:16" ht="14.25" customHeight="1">
      <c r="A88" s="270" t="s">
        <v>94</v>
      </c>
      <c r="B88" s="17" t="s">
        <v>89</v>
      </c>
      <c r="C88" s="17" t="s">
        <v>28</v>
      </c>
      <c r="D88" s="155">
        <v>-38.589927555043182</v>
      </c>
      <c r="E88" s="155">
        <v>-3.7238050350000007</v>
      </c>
      <c r="F88" s="17">
        <v>2006</v>
      </c>
      <c r="G88" s="19" t="s">
        <v>90</v>
      </c>
      <c r="H88" s="17" t="s">
        <v>188</v>
      </c>
      <c r="I88" s="17" t="s">
        <v>91</v>
      </c>
      <c r="J88" s="1" t="s">
        <v>20</v>
      </c>
      <c r="K88" s="158">
        <v>600</v>
      </c>
      <c r="L88" s="10">
        <v>73</v>
      </c>
      <c r="M88" s="111" t="s">
        <v>50</v>
      </c>
      <c r="N88" s="17" t="s">
        <v>88</v>
      </c>
      <c r="O88" s="24">
        <v>38.825000000000003</v>
      </c>
      <c r="P88" s="10">
        <v>30.340113711059153</v>
      </c>
    </row>
    <row r="89" spans="1:16" ht="14.25" customHeight="1">
      <c r="A89" s="270" t="s">
        <v>94</v>
      </c>
      <c r="B89" s="17" t="s">
        <v>89</v>
      </c>
      <c r="C89" s="17" t="s">
        <v>29</v>
      </c>
      <c r="D89" s="155">
        <v>-38.589927555043182</v>
      </c>
      <c r="E89" s="155">
        <v>-3.7238050350000007</v>
      </c>
      <c r="F89" s="17">
        <v>2006</v>
      </c>
      <c r="G89" s="19" t="s">
        <v>90</v>
      </c>
      <c r="H89" s="17" t="s">
        <v>188</v>
      </c>
      <c r="I89" s="17" t="s">
        <v>91</v>
      </c>
      <c r="J89" s="1" t="s">
        <v>20</v>
      </c>
      <c r="K89" s="158">
        <v>600</v>
      </c>
      <c r="L89" s="10">
        <v>73</v>
      </c>
      <c r="M89" s="111" t="s">
        <v>50</v>
      </c>
      <c r="N89" s="17" t="s">
        <v>88</v>
      </c>
      <c r="O89" s="24">
        <v>33.025000000000006</v>
      </c>
      <c r="P89" s="10">
        <v>15.920505645236251</v>
      </c>
    </row>
    <row r="90" spans="1:16" ht="14.25" customHeight="1">
      <c r="A90" s="270" t="s">
        <v>94</v>
      </c>
      <c r="B90" s="17" t="s">
        <v>89</v>
      </c>
      <c r="C90" s="17" t="s">
        <v>12</v>
      </c>
      <c r="D90" s="109">
        <v>-38.589927555043182</v>
      </c>
      <c r="E90" s="109">
        <v>-3.7238050350000007</v>
      </c>
      <c r="F90" s="17">
        <v>2006</v>
      </c>
      <c r="G90" s="19" t="s">
        <v>90</v>
      </c>
      <c r="H90" s="17" t="s">
        <v>188</v>
      </c>
      <c r="I90" s="17" t="s">
        <v>91</v>
      </c>
      <c r="J90" s="1" t="s">
        <v>20</v>
      </c>
      <c r="K90" s="158">
        <v>900</v>
      </c>
      <c r="L90" s="10">
        <v>73</v>
      </c>
      <c r="M90" s="111" t="s">
        <v>50</v>
      </c>
      <c r="N90" s="17" t="s">
        <v>88</v>
      </c>
      <c r="O90" s="24">
        <v>49.016666666666659</v>
      </c>
      <c r="P90" s="10">
        <v>36.490131085906867</v>
      </c>
    </row>
    <row r="91" spans="1:16" ht="14.25" customHeight="1">
      <c r="A91" s="270" t="s">
        <v>94</v>
      </c>
      <c r="B91" s="17" t="s">
        <v>89</v>
      </c>
      <c r="C91" s="17" t="s">
        <v>13</v>
      </c>
      <c r="D91" s="109">
        <v>-38.589927555043182</v>
      </c>
      <c r="E91" s="109">
        <v>-3.7238050350000007</v>
      </c>
      <c r="F91" s="17">
        <v>0</v>
      </c>
      <c r="G91" s="19" t="s">
        <v>90</v>
      </c>
      <c r="H91" s="17" t="s">
        <v>188</v>
      </c>
      <c r="I91" s="17" t="s">
        <v>91</v>
      </c>
      <c r="J91" s="1" t="s">
        <v>20</v>
      </c>
      <c r="K91" s="158">
        <v>600</v>
      </c>
      <c r="L91" s="10">
        <v>73</v>
      </c>
      <c r="M91" s="111" t="s">
        <v>50</v>
      </c>
      <c r="N91" s="17" t="s">
        <v>88</v>
      </c>
      <c r="O91" s="24">
        <v>25.2</v>
      </c>
      <c r="P91" s="10">
        <v>12.969708297927655</v>
      </c>
    </row>
    <row r="92" spans="1:16" ht="14.25" customHeight="1">
      <c r="A92" s="270" t="s">
        <v>94</v>
      </c>
      <c r="B92" s="17" t="s">
        <v>89</v>
      </c>
      <c r="C92" s="17" t="s">
        <v>14</v>
      </c>
      <c r="D92" s="109">
        <v>-38.589927555043182</v>
      </c>
      <c r="E92" s="109">
        <v>-3.7238050350000007</v>
      </c>
      <c r="F92" s="17">
        <v>2006</v>
      </c>
      <c r="G92" s="19" t="s">
        <v>90</v>
      </c>
      <c r="H92" s="17" t="s">
        <v>188</v>
      </c>
      <c r="I92" s="17" t="s">
        <v>91</v>
      </c>
      <c r="J92" s="1" t="s">
        <v>20</v>
      </c>
      <c r="K92" s="158">
        <v>750</v>
      </c>
      <c r="L92" s="10">
        <v>73</v>
      </c>
      <c r="M92" s="111" t="s">
        <v>50</v>
      </c>
      <c r="N92" s="17" t="s">
        <v>88</v>
      </c>
      <c r="O92" s="24">
        <v>38.959999999999994</v>
      </c>
      <c r="P92" s="10">
        <v>19.401752498163667</v>
      </c>
    </row>
    <row r="93" spans="1:16" ht="14.25" customHeight="1">
      <c r="A93" s="270" t="s">
        <v>94</v>
      </c>
      <c r="B93" s="17" t="s">
        <v>89</v>
      </c>
      <c r="C93" s="17" t="s">
        <v>146</v>
      </c>
      <c r="D93" s="109">
        <v>-54.58710248860465</v>
      </c>
      <c r="E93" s="109">
        <v>-25.542493279529253</v>
      </c>
      <c r="F93" s="17">
        <v>2006</v>
      </c>
      <c r="G93" s="19" t="s">
        <v>90</v>
      </c>
      <c r="H93" s="17" t="s">
        <v>188</v>
      </c>
      <c r="I93" s="17" t="s">
        <v>91</v>
      </c>
      <c r="J93" s="1" t="s">
        <v>20</v>
      </c>
      <c r="K93" s="158">
        <v>750</v>
      </c>
      <c r="L93" s="10">
        <v>73</v>
      </c>
      <c r="M93" s="111" t="s">
        <v>50</v>
      </c>
      <c r="N93" s="17" t="s">
        <v>88</v>
      </c>
      <c r="O93" s="24">
        <v>52.48</v>
      </c>
      <c r="P93" s="10">
        <v>17.744492103185152</v>
      </c>
    </row>
    <row r="94" spans="1:16" ht="14.25" customHeight="1">
      <c r="A94" s="270" t="s">
        <v>94</v>
      </c>
      <c r="B94" s="17" t="s">
        <v>89</v>
      </c>
      <c r="C94" s="158" t="s">
        <v>137</v>
      </c>
      <c r="D94" s="109">
        <v>-51.162773423878093</v>
      </c>
      <c r="E94" s="109">
        <v>-23.312156000000005</v>
      </c>
      <c r="F94" s="17">
        <v>2006</v>
      </c>
      <c r="G94" s="19" t="s">
        <v>90</v>
      </c>
      <c r="H94" s="17" t="s">
        <v>188</v>
      </c>
      <c r="I94" s="17" t="s">
        <v>91</v>
      </c>
      <c r="J94" s="1" t="s">
        <v>20</v>
      </c>
      <c r="K94" s="158">
        <v>750</v>
      </c>
      <c r="L94" s="10">
        <v>73</v>
      </c>
      <c r="M94" s="111" t="s">
        <v>50</v>
      </c>
      <c r="N94" s="17" t="s">
        <v>88</v>
      </c>
      <c r="O94" s="24">
        <v>57.2</v>
      </c>
      <c r="P94" s="10">
        <v>25.160186803758034</v>
      </c>
    </row>
    <row r="95" spans="1:16" ht="14.25" customHeight="1">
      <c r="A95" s="270" t="s">
        <v>94</v>
      </c>
      <c r="B95" s="17" t="s">
        <v>89</v>
      </c>
      <c r="C95" s="17" t="s">
        <v>138</v>
      </c>
      <c r="D95" s="109">
        <v>-51.939881870252066</v>
      </c>
      <c r="E95" s="109">
        <v>-23.422280000000004</v>
      </c>
      <c r="F95" s="17">
        <v>2006</v>
      </c>
      <c r="G95" s="19" t="s">
        <v>90</v>
      </c>
      <c r="H95" s="17" t="s">
        <v>188</v>
      </c>
      <c r="I95" s="17" t="s">
        <v>91</v>
      </c>
      <c r="J95" s="1" t="s">
        <v>20</v>
      </c>
      <c r="K95" s="158">
        <v>900</v>
      </c>
      <c r="L95" s="10">
        <v>73</v>
      </c>
      <c r="M95" s="111" t="s">
        <v>50</v>
      </c>
      <c r="N95" s="17" t="s">
        <v>88</v>
      </c>
      <c r="O95" s="24">
        <v>54.866666666666667</v>
      </c>
      <c r="P95" s="10">
        <v>23.027867175808243</v>
      </c>
    </row>
    <row r="96" spans="1:16" ht="14.25" customHeight="1">
      <c r="A96" s="270" t="s">
        <v>94</v>
      </c>
      <c r="B96" s="17" t="s">
        <v>89</v>
      </c>
      <c r="C96" s="158" t="s">
        <v>139</v>
      </c>
      <c r="D96" s="155">
        <v>-48.351043708246195</v>
      </c>
      <c r="E96" s="155">
        <v>-10.16325332679275</v>
      </c>
      <c r="F96" s="17">
        <v>2006</v>
      </c>
      <c r="G96" s="19" t="s">
        <v>90</v>
      </c>
      <c r="H96" s="17" t="s">
        <v>188</v>
      </c>
      <c r="I96" s="17" t="s">
        <v>91</v>
      </c>
      <c r="J96" s="1" t="s">
        <v>20</v>
      </c>
      <c r="K96" s="158">
        <v>1050</v>
      </c>
      <c r="L96" s="10">
        <v>73</v>
      </c>
      <c r="M96" s="111" t="s">
        <v>50</v>
      </c>
      <c r="N96" s="17" t="s">
        <v>88</v>
      </c>
      <c r="O96" s="24">
        <v>25.671428571428571</v>
      </c>
      <c r="P96" s="10">
        <v>17.111956276798036</v>
      </c>
    </row>
    <row r="97" spans="1:16" ht="14.25" customHeight="1" thickBot="1">
      <c r="A97" s="11" t="s">
        <v>94</v>
      </c>
      <c r="B97" s="21" t="s">
        <v>89</v>
      </c>
      <c r="C97" s="11" t="s">
        <v>140</v>
      </c>
      <c r="D97" s="156">
        <v>-60.028266774190257</v>
      </c>
      <c r="E97" s="156">
        <v>1.0181116273912603</v>
      </c>
      <c r="F97" s="21">
        <v>2005</v>
      </c>
      <c r="G97" s="22" t="s">
        <v>90</v>
      </c>
      <c r="H97" s="21" t="s">
        <v>188</v>
      </c>
      <c r="I97" s="21" t="s">
        <v>91</v>
      </c>
      <c r="J97" s="49" t="s">
        <v>20</v>
      </c>
      <c r="K97" s="21">
        <v>750</v>
      </c>
      <c r="L97" s="30">
        <v>73</v>
      </c>
      <c r="M97" s="114" t="s">
        <v>50</v>
      </c>
      <c r="N97" s="49" t="s">
        <v>88</v>
      </c>
      <c r="O97" s="25">
        <v>60</v>
      </c>
      <c r="P97" s="21">
        <v>15.7</v>
      </c>
    </row>
    <row r="98" spans="1:16" ht="14.25" customHeight="1">
      <c r="A98" s="270" t="s">
        <v>94</v>
      </c>
      <c r="B98" s="17" t="s">
        <v>89</v>
      </c>
      <c r="C98" s="20" t="s">
        <v>124</v>
      </c>
      <c r="D98" s="261"/>
      <c r="E98" s="262"/>
      <c r="F98" s="17">
        <v>2006</v>
      </c>
      <c r="G98" s="19" t="s">
        <v>90</v>
      </c>
      <c r="H98" s="17" t="s">
        <v>188</v>
      </c>
      <c r="I98" s="17" t="s">
        <v>91</v>
      </c>
      <c r="J98" s="158" t="s">
        <v>93</v>
      </c>
      <c r="K98" s="158">
        <v>600</v>
      </c>
      <c r="L98" s="24">
        <v>146</v>
      </c>
      <c r="M98" s="111" t="s">
        <v>50</v>
      </c>
      <c r="N98" s="17" t="s">
        <v>88</v>
      </c>
      <c r="O98" s="18">
        <v>100</v>
      </c>
      <c r="P98" s="24">
        <v>0</v>
      </c>
    </row>
    <row r="99" spans="1:16" ht="14.25" customHeight="1">
      <c r="A99" s="270" t="s">
        <v>94</v>
      </c>
      <c r="B99" s="17" t="s">
        <v>89</v>
      </c>
      <c r="C99" s="17" t="s">
        <v>100</v>
      </c>
      <c r="D99" s="109">
        <v>-50.439226072752597</v>
      </c>
      <c r="E99" s="109">
        <v>-21.205476000000004</v>
      </c>
      <c r="F99" s="17">
        <v>2006</v>
      </c>
      <c r="G99" s="19" t="s">
        <v>90</v>
      </c>
      <c r="H99" s="17" t="s">
        <v>188</v>
      </c>
      <c r="I99" s="17" t="s">
        <v>91</v>
      </c>
      <c r="J99" s="158" t="s">
        <v>93</v>
      </c>
      <c r="K99" s="158">
        <v>900</v>
      </c>
      <c r="L99" s="10">
        <v>292</v>
      </c>
      <c r="M99" s="111" t="s">
        <v>50</v>
      </c>
      <c r="N99" s="1" t="s">
        <v>88</v>
      </c>
      <c r="O99" s="18">
        <v>100</v>
      </c>
      <c r="P99" s="10">
        <v>0</v>
      </c>
    </row>
    <row r="100" spans="1:16" ht="14.25" customHeight="1">
      <c r="A100" s="270" t="s">
        <v>94</v>
      </c>
      <c r="B100" s="17" t="s">
        <v>89</v>
      </c>
      <c r="C100" s="158" t="s">
        <v>101</v>
      </c>
      <c r="D100" s="109">
        <v>-48.567377839455055</v>
      </c>
      <c r="E100" s="109">
        <v>-20.558455515000002</v>
      </c>
      <c r="F100" s="17">
        <v>2006</v>
      </c>
      <c r="G100" s="19" t="s">
        <v>90</v>
      </c>
      <c r="H100" s="17" t="s">
        <v>188</v>
      </c>
      <c r="I100" s="17" t="s">
        <v>91</v>
      </c>
      <c r="J100" s="158" t="s">
        <v>93</v>
      </c>
      <c r="K100" s="158">
        <v>600</v>
      </c>
      <c r="L100" s="10">
        <v>292</v>
      </c>
      <c r="M100" s="111" t="s">
        <v>50</v>
      </c>
      <c r="N100" s="1" t="s">
        <v>88</v>
      </c>
      <c r="O100" s="18">
        <v>100</v>
      </c>
      <c r="P100" s="10">
        <v>0</v>
      </c>
    </row>
    <row r="101" spans="1:16" ht="14.25" customHeight="1">
      <c r="A101" s="270" t="s">
        <v>94</v>
      </c>
      <c r="B101" s="17" t="s">
        <v>89</v>
      </c>
      <c r="C101" s="17" t="s">
        <v>102</v>
      </c>
      <c r="D101" s="109">
        <v>-49.083000867090362</v>
      </c>
      <c r="E101" s="109">
        <v>-22.325122500000006</v>
      </c>
      <c r="F101" s="17">
        <v>2006</v>
      </c>
      <c r="G101" s="19" t="s">
        <v>90</v>
      </c>
      <c r="H101" s="17" t="s">
        <v>188</v>
      </c>
      <c r="I101" s="17" t="s">
        <v>91</v>
      </c>
      <c r="J101" s="158" t="s">
        <v>93</v>
      </c>
      <c r="K101" s="5">
        <v>600</v>
      </c>
      <c r="L101" s="10">
        <v>292</v>
      </c>
      <c r="M101" s="111" t="s">
        <v>50</v>
      </c>
      <c r="N101" s="1" t="s">
        <v>88</v>
      </c>
      <c r="O101" s="18">
        <v>100</v>
      </c>
      <c r="P101" s="10">
        <v>0</v>
      </c>
    </row>
    <row r="102" spans="1:16" ht="14.25" customHeight="1">
      <c r="A102" s="270" t="s">
        <v>94</v>
      </c>
      <c r="B102" s="17" t="s">
        <v>89</v>
      </c>
      <c r="C102" s="17" t="s">
        <v>103</v>
      </c>
      <c r="D102" s="109">
        <v>-48.441289384350434</v>
      </c>
      <c r="E102" s="109">
        <v>-22.888381500000008</v>
      </c>
      <c r="F102" s="17">
        <v>2006</v>
      </c>
      <c r="G102" s="19" t="s">
        <v>90</v>
      </c>
      <c r="H102" s="17" t="s">
        <v>188</v>
      </c>
      <c r="I102" s="17" t="s">
        <v>91</v>
      </c>
      <c r="J102" s="158" t="s">
        <v>93</v>
      </c>
      <c r="K102" s="5">
        <v>600</v>
      </c>
      <c r="L102" s="10">
        <v>292</v>
      </c>
      <c r="M102" s="111" t="s">
        <v>50</v>
      </c>
      <c r="N102" s="1" t="s">
        <v>88</v>
      </c>
      <c r="O102" s="18">
        <v>100</v>
      </c>
      <c r="P102" s="10">
        <v>0</v>
      </c>
    </row>
    <row r="103" spans="1:16" ht="14.25" customHeight="1">
      <c r="A103" s="270" t="s">
        <v>94</v>
      </c>
      <c r="B103" s="17" t="s">
        <v>89</v>
      </c>
      <c r="C103" s="17" t="s">
        <v>106</v>
      </c>
      <c r="D103" s="109">
        <v>-46.933372863488053</v>
      </c>
      <c r="E103" s="109">
        <v>-23.546934000000004</v>
      </c>
      <c r="F103" s="17">
        <v>2006</v>
      </c>
      <c r="G103" s="19" t="s">
        <v>90</v>
      </c>
      <c r="H103" s="17" t="s">
        <v>188</v>
      </c>
      <c r="I103" s="17" t="s">
        <v>91</v>
      </c>
      <c r="J103" s="158" t="s">
        <v>93</v>
      </c>
      <c r="K103" s="5">
        <v>900</v>
      </c>
      <c r="L103" s="10">
        <v>292</v>
      </c>
      <c r="M103" s="111" t="s">
        <v>50</v>
      </c>
      <c r="N103" s="1" t="s">
        <v>88</v>
      </c>
      <c r="O103" s="18">
        <v>100</v>
      </c>
      <c r="P103" s="10">
        <v>0</v>
      </c>
    </row>
    <row r="104" spans="1:16" ht="14.25" customHeight="1">
      <c r="A104" s="270" t="s">
        <v>94</v>
      </c>
      <c r="B104" s="17" t="s">
        <v>89</v>
      </c>
      <c r="C104" s="17" t="s">
        <v>130</v>
      </c>
      <c r="D104" s="109">
        <v>-46.905221141741073</v>
      </c>
      <c r="E104" s="109">
        <v>-23.529939000000002</v>
      </c>
      <c r="F104" s="17">
        <v>2006</v>
      </c>
      <c r="G104" s="19" t="s">
        <v>90</v>
      </c>
      <c r="H104" s="17" t="s">
        <v>188</v>
      </c>
      <c r="I104" s="17" t="s">
        <v>91</v>
      </c>
      <c r="J104" s="158" t="s">
        <v>93</v>
      </c>
      <c r="K104" s="5">
        <v>600</v>
      </c>
      <c r="L104" s="10">
        <v>292</v>
      </c>
      <c r="M104" s="111" t="s">
        <v>50</v>
      </c>
      <c r="N104" s="1" t="s">
        <v>88</v>
      </c>
      <c r="O104" s="18">
        <v>100</v>
      </c>
      <c r="P104" s="10">
        <v>0</v>
      </c>
    </row>
    <row r="105" spans="1:16" ht="14.25" customHeight="1">
      <c r="A105" s="270" t="s">
        <v>94</v>
      </c>
      <c r="B105" s="17" t="s">
        <v>89</v>
      </c>
      <c r="C105" s="17" t="s">
        <v>108</v>
      </c>
      <c r="D105" s="109">
        <v>-51.386765581912492</v>
      </c>
      <c r="E105" s="109">
        <v>-24.494251427999906</v>
      </c>
      <c r="F105" s="17">
        <v>2006</v>
      </c>
      <c r="G105" s="19" t="s">
        <v>90</v>
      </c>
      <c r="H105" s="17" t="s">
        <v>188</v>
      </c>
      <c r="I105" s="17" t="s">
        <v>91</v>
      </c>
      <c r="J105" s="158" t="s">
        <v>93</v>
      </c>
      <c r="K105" s="5">
        <v>750</v>
      </c>
      <c r="L105" s="10">
        <v>292</v>
      </c>
      <c r="M105" s="111" t="s">
        <v>50</v>
      </c>
      <c r="N105" s="1" t="s">
        <v>88</v>
      </c>
      <c r="O105" s="18">
        <v>100</v>
      </c>
      <c r="P105" s="10">
        <v>0</v>
      </c>
    </row>
    <row r="106" spans="1:16" ht="14.25" customHeight="1">
      <c r="A106" s="270" t="s">
        <v>94</v>
      </c>
      <c r="B106" s="17" t="s">
        <v>89</v>
      </c>
      <c r="C106" s="17" t="s">
        <v>109</v>
      </c>
      <c r="D106" s="109">
        <v>-47.805475915541528</v>
      </c>
      <c r="E106" s="109">
        <v>-21.184834500000004</v>
      </c>
      <c r="F106" s="17">
        <v>2006</v>
      </c>
      <c r="G106" s="19" t="s">
        <v>90</v>
      </c>
      <c r="H106" s="17" t="s">
        <v>188</v>
      </c>
      <c r="I106" s="17" t="s">
        <v>91</v>
      </c>
      <c r="J106" s="158" t="s">
        <v>93</v>
      </c>
      <c r="K106" s="158">
        <v>750</v>
      </c>
      <c r="L106" s="10">
        <v>292</v>
      </c>
      <c r="M106" s="111" t="s">
        <v>50</v>
      </c>
      <c r="N106" s="1" t="s">
        <v>88</v>
      </c>
      <c r="O106" s="18">
        <v>98.7</v>
      </c>
      <c r="P106" s="10">
        <v>2.9068883707497268</v>
      </c>
    </row>
    <row r="107" spans="1:16" ht="14.25" customHeight="1">
      <c r="A107" s="270" t="s">
        <v>94</v>
      </c>
      <c r="B107" s="17" t="s">
        <v>89</v>
      </c>
      <c r="C107" s="17" t="s">
        <v>110</v>
      </c>
      <c r="D107" s="109">
        <v>-46.331370849190684</v>
      </c>
      <c r="E107" s="109">
        <v>-23.933737500000003</v>
      </c>
      <c r="F107" s="17">
        <v>2006</v>
      </c>
      <c r="G107" s="19" t="s">
        <v>90</v>
      </c>
      <c r="H107" s="17" t="s">
        <v>188</v>
      </c>
      <c r="I107" s="17" t="s">
        <v>91</v>
      </c>
      <c r="J107" s="158" t="s">
        <v>93</v>
      </c>
      <c r="K107" s="158">
        <v>900</v>
      </c>
      <c r="L107" s="10">
        <v>292</v>
      </c>
      <c r="M107" s="111" t="s">
        <v>50</v>
      </c>
      <c r="N107" s="1" t="s">
        <v>88</v>
      </c>
      <c r="O107" s="18">
        <v>100</v>
      </c>
      <c r="P107" s="10">
        <v>0</v>
      </c>
    </row>
    <row r="108" spans="1:16" ht="14.25" customHeight="1">
      <c r="A108" s="270" t="s">
        <v>94</v>
      </c>
      <c r="B108" s="17" t="s">
        <v>89</v>
      </c>
      <c r="C108" s="17" t="s">
        <v>111</v>
      </c>
      <c r="D108" s="109">
        <v>-47.889237684691636</v>
      </c>
      <c r="E108" s="109">
        <v>-22.015998500000002</v>
      </c>
      <c r="F108" s="17">
        <v>2006</v>
      </c>
      <c r="G108" s="19" t="s">
        <v>90</v>
      </c>
      <c r="H108" s="17" t="s">
        <v>188</v>
      </c>
      <c r="I108" s="17" t="s">
        <v>91</v>
      </c>
      <c r="J108" s="158" t="s">
        <v>93</v>
      </c>
      <c r="K108" s="158">
        <v>600</v>
      </c>
      <c r="L108" s="10">
        <v>292</v>
      </c>
      <c r="M108" s="111" t="s">
        <v>50</v>
      </c>
      <c r="N108" s="1" t="s">
        <v>88</v>
      </c>
      <c r="O108" s="18">
        <v>100</v>
      </c>
      <c r="P108" s="10">
        <v>0</v>
      </c>
    </row>
    <row r="109" spans="1:16" ht="14.25" customHeight="1">
      <c r="A109" s="270" t="s">
        <v>94</v>
      </c>
      <c r="B109" s="17" t="s">
        <v>89</v>
      </c>
      <c r="C109" s="17" t="s">
        <v>131</v>
      </c>
      <c r="D109" s="109">
        <v>-49.381347685025794</v>
      </c>
      <c r="E109" s="109">
        <v>-20.812636500000004</v>
      </c>
      <c r="F109" s="17">
        <v>2006</v>
      </c>
      <c r="G109" s="19" t="s">
        <v>90</v>
      </c>
      <c r="H109" s="17" t="s">
        <v>188</v>
      </c>
      <c r="I109" s="17" t="s">
        <v>91</v>
      </c>
      <c r="J109" s="158" t="s">
        <v>93</v>
      </c>
      <c r="K109" s="5">
        <v>750</v>
      </c>
      <c r="L109" s="10">
        <v>292</v>
      </c>
      <c r="M109" s="111" t="s">
        <v>50</v>
      </c>
      <c r="N109" s="1" t="s">
        <v>88</v>
      </c>
      <c r="O109" s="18">
        <v>100</v>
      </c>
      <c r="P109" s="10">
        <v>0</v>
      </c>
    </row>
    <row r="110" spans="1:16" ht="14.25" customHeight="1">
      <c r="A110" s="270" t="s">
        <v>94</v>
      </c>
      <c r="B110" s="17" t="s">
        <v>89</v>
      </c>
      <c r="C110" s="17" t="s">
        <v>113</v>
      </c>
      <c r="D110" s="109">
        <v>-45.402680140543957</v>
      </c>
      <c r="E110" s="109">
        <v>-23.806687652148753</v>
      </c>
      <c r="F110" s="17">
        <v>2006</v>
      </c>
      <c r="G110" s="19" t="s">
        <v>90</v>
      </c>
      <c r="H110" s="17" t="s">
        <v>188</v>
      </c>
      <c r="I110" s="17" t="s">
        <v>91</v>
      </c>
      <c r="J110" s="158" t="s">
        <v>93</v>
      </c>
      <c r="K110" s="158">
        <v>1350</v>
      </c>
      <c r="L110" s="10">
        <v>292</v>
      </c>
      <c r="M110" s="111" t="s">
        <v>50</v>
      </c>
      <c r="N110" s="1" t="s">
        <v>88</v>
      </c>
      <c r="O110" s="24">
        <v>88.588888888888889</v>
      </c>
      <c r="P110" s="10">
        <v>22.789166529540125</v>
      </c>
    </row>
    <row r="111" spans="1:16" ht="14.25" customHeight="1">
      <c r="A111" s="270" t="s">
        <v>94</v>
      </c>
      <c r="B111" s="17" t="s">
        <v>89</v>
      </c>
      <c r="C111" s="17" t="s">
        <v>136</v>
      </c>
      <c r="D111" s="109">
        <v>-48.208705251855818</v>
      </c>
      <c r="E111" s="109">
        <v>-7.191328939654956</v>
      </c>
      <c r="F111" s="17">
        <v>2006</v>
      </c>
      <c r="G111" s="19" t="s">
        <v>90</v>
      </c>
      <c r="H111" s="17" t="s">
        <v>188</v>
      </c>
      <c r="I111" s="17" t="s">
        <v>91</v>
      </c>
      <c r="J111" s="158" t="s">
        <v>93</v>
      </c>
      <c r="K111" s="158">
        <v>600</v>
      </c>
      <c r="L111" s="10">
        <v>292</v>
      </c>
      <c r="M111" s="111" t="s">
        <v>50</v>
      </c>
      <c r="N111" s="1" t="s">
        <v>88</v>
      </c>
      <c r="O111" s="24">
        <v>99.75</v>
      </c>
      <c r="P111" s="18">
        <v>0.2</v>
      </c>
    </row>
    <row r="112" spans="1:16" ht="14.25" customHeight="1">
      <c r="A112" s="270" t="s">
        <v>94</v>
      </c>
      <c r="B112" s="17" t="s">
        <v>89</v>
      </c>
      <c r="C112" s="17" t="s">
        <v>28</v>
      </c>
      <c r="D112" s="155">
        <v>-38.589927555043182</v>
      </c>
      <c r="E112" s="155">
        <v>-3.7238050350000007</v>
      </c>
      <c r="F112" s="17">
        <v>2006</v>
      </c>
      <c r="G112" s="19" t="s">
        <v>90</v>
      </c>
      <c r="H112" s="17" t="s">
        <v>188</v>
      </c>
      <c r="I112" s="17" t="s">
        <v>91</v>
      </c>
      <c r="J112" s="158" t="s">
        <v>93</v>
      </c>
      <c r="K112" s="158">
        <v>900</v>
      </c>
      <c r="L112" s="10">
        <v>292</v>
      </c>
      <c r="M112" s="111" t="s">
        <v>50</v>
      </c>
      <c r="N112" s="1" t="s">
        <v>88</v>
      </c>
      <c r="O112" s="24">
        <v>98.283333333333346</v>
      </c>
      <c r="P112" s="18">
        <v>0.2</v>
      </c>
    </row>
    <row r="113" spans="1:17" ht="14.25" customHeight="1">
      <c r="A113" s="270" t="s">
        <v>94</v>
      </c>
      <c r="B113" s="17" t="s">
        <v>89</v>
      </c>
      <c r="C113" s="17" t="s">
        <v>29</v>
      </c>
      <c r="D113" s="155">
        <v>-38.589927555043182</v>
      </c>
      <c r="E113" s="155">
        <v>-3.7238050350000007</v>
      </c>
      <c r="F113" s="17">
        <v>2006</v>
      </c>
      <c r="G113" s="19" t="s">
        <v>90</v>
      </c>
      <c r="H113" s="17" t="s">
        <v>188</v>
      </c>
      <c r="I113" s="17" t="s">
        <v>91</v>
      </c>
      <c r="J113" s="158" t="s">
        <v>93</v>
      </c>
      <c r="K113" s="158">
        <v>1050</v>
      </c>
      <c r="L113" s="10">
        <v>292</v>
      </c>
      <c r="M113" s="111" t="s">
        <v>50</v>
      </c>
      <c r="N113" s="1" t="s">
        <v>88</v>
      </c>
      <c r="O113" s="24">
        <v>94.299999999999983</v>
      </c>
      <c r="P113" s="18">
        <v>0.5</v>
      </c>
    </row>
    <row r="114" spans="1:17" ht="14.25" customHeight="1">
      <c r="A114" s="270" t="s">
        <v>94</v>
      </c>
      <c r="B114" s="17" t="s">
        <v>89</v>
      </c>
      <c r="C114" s="17" t="s">
        <v>12</v>
      </c>
      <c r="D114" s="109">
        <v>-38.589927555043182</v>
      </c>
      <c r="E114" s="109">
        <v>-3.7238050350000007</v>
      </c>
      <c r="F114" s="17">
        <v>2006</v>
      </c>
      <c r="G114" s="19" t="s">
        <v>90</v>
      </c>
      <c r="H114" s="17" t="s">
        <v>188</v>
      </c>
      <c r="I114" s="17" t="s">
        <v>91</v>
      </c>
      <c r="J114" s="158" t="s">
        <v>93</v>
      </c>
      <c r="K114" s="158">
        <v>1050</v>
      </c>
      <c r="L114" s="10">
        <v>292</v>
      </c>
      <c r="M114" s="111" t="s">
        <v>50</v>
      </c>
      <c r="N114" s="1" t="s">
        <v>88</v>
      </c>
      <c r="O114" s="24">
        <v>96.442857142857136</v>
      </c>
      <c r="P114" s="18">
        <v>0.6</v>
      </c>
    </row>
    <row r="115" spans="1:17" ht="14.25" customHeight="1">
      <c r="A115" s="270" t="s">
        <v>94</v>
      </c>
      <c r="B115" s="17" t="s">
        <v>89</v>
      </c>
      <c r="C115" s="17" t="s">
        <v>13</v>
      </c>
      <c r="D115" s="109">
        <v>-38.589927555043182</v>
      </c>
      <c r="E115" s="109">
        <v>-3.7238050350000007</v>
      </c>
      <c r="F115" s="17">
        <v>2006</v>
      </c>
      <c r="G115" s="19" t="s">
        <v>90</v>
      </c>
      <c r="H115" s="17" t="s">
        <v>188</v>
      </c>
      <c r="I115" s="17" t="s">
        <v>91</v>
      </c>
      <c r="J115" s="158" t="s">
        <v>93</v>
      </c>
      <c r="K115" s="158">
        <v>900</v>
      </c>
      <c r="L115" s="10">
        <v>292</v>
      </c>
      <c r="M115" s="111" t="s">
        <v>50</v>
      </c>
      <c r="N115" s="1" t="s">
        <v>88</v>
      </c>
      <c r="O115" s="24">
        <v>98.091666666666654</v>
      </c>
      <c r="P115" s="18">
        <v>0.2</v>
      </c>
    </row>
    <row r="116" spans="1:17" ht="14.25" customHeight="1">
      <c r="A116" s="270" t="s">
        <v>94</v>
      </c>
      <c r="B116" s="17" t="s">
        <v>89</v>
      </c>
      <c r="C116" s="17" t="s">
        <v>14</v>
      </c>
      <c r="D116" s="109">
        <v>-38.589927555043182</v>
      </c>
      <c r="E116" s="109">
        <v>-3.7238050350000007</v>
      </c>
      <c r="F116" s="17">
        <v>2006</v>
      </c>
      <c r="G116" s="19" t="s">
        <v>90</v>
      </c>
      <c r="H116" s="17" t="s">
        <v>188</v>
      </c>
      <c r="I116" s="17" t="s">
        <v>91</v>
      </c>
      <c r="J116" s="158" t="s">
        <v>93</v>
      </c>
      <c r="K116" s="158">
        <v>750</v>
      </c>
      <c r="L116" s="10">
        <v>292</v>
      </c>
      <c r="M116" s="111" t="s">
        <v>50</v>
      </c>
      <c r="N116" s="1" t="s">
        <v>88</v>
      </c>
      <c r="O116" s="24">
        <v>98.28</v>
      </c>
      <c r="P116" s="18">
        <v>2.5</v>
      </c>
    </row>
    <row r="117" spans="1:17" ht="14.25" customHeight="1">
      <c r="A117" s="270" t="s">
        <v>94</v>
      </c>
      <c r="B117" s="17" t="s">
        <v>89</v>
      </c>
      <c r="C117" s="17" t="s">
        <v>146</v>
      </c>
      <c r="D117" s="109">
        <v>-54.58710248860465</v>
      </c>
      <c r="E117" s="109">
        <v>-25.542493279529253</v>
      </c>
      <c r="F117" s="17">
        <v>2006</v>
      </c>
      <c r="G117" s="19" t="s">
        <v>90</v>
      </c>
      <c r="H117" s="17" t="s">
        <v>188</v>
      </c>
      <c r="I117" s="17" t="s">
        <v>91</v>
      </c>
      <c r="J117" s="158" t="s">
        <v>93</v>
      </c>
      <c r="K117" s="158">
        <v>600</v>
      </c>
      <c r="L117" s="10">
        <v>292</v>
      </c>
      <c r="M117" s="111" t="s">
        <v>50</v>
      </c>
      <c r="N117" s="1" t="s">
        <v>88</v>
      </c>
      <c r="O117" s="51">
        <v>100</v>
      </c>
      <c r="P117" s="24">
        <v>0</v>
      </c>
    </row>
    <row r="118" spans="1:17" ht="14.25" customHeight="1">
      <c r="A118" s="270" t="s">
        <v>94</v>
      </c>
      <c r="B118" s="17" t="s">
        <v>89</v>
      </c>
      <c r="C118" s="158" t="s">
        <v>137</v>
      </c>
      <c r="D118" s="109">
        <v>-51.162773423878093</v>
      </c>
      <c r="E118" s="109">
        <v>-23.312156000000005</v>
      </c>
      <c r="F118" s="17">
        <v>2006</v>
      </c>
      <c r="G118" s="19" t="s">
        <v>90</v>
      </c>
      <c r="H118" s="17" t="s">
        <v>188</v>
      </c>
      <c r="I118" s="17" t="s">
        <v>91</v>
      </c>
      <c r="J118" s="158" t="s">
        <v>93</v>
      </c>
      <c r="K118" s="158">
        <v>600</v>
      </c>
      <c r="L118" s="10">
        <v>292</v>
      </c>
      <c r="M118" s="111" t="s">
        <v>50</v>
      </c>
      <c r="N118" s="1" t="s">
        <v>88</v>
      </c>
      <c r="O118" s="51">
        <v>100</v>
      </c>
      <c r="P118" s="24">
        <v>0</v>
      </c>
    </row>
    <row r="119" spans="1:17" ht="14.25" customHeight="1">
      <c r="A119" s="270" t="s">
        <v>94</v>
      </c>
      <c r="B119" s="17" t="s">
        <v>89</v>
      </c>
      <c r="C119" s="17" t="s">
        <v>138</v>
      </c>
      <c r="D119" s="109">
        <v>-51.939881870252066</v>
      </c>
      <c r="E119" s="109">
        <v>-23.422280000000004</v>
      </c>
      <c r="F119" s="17">
        <v>2006</v>
      </c>
      <c r="G119" s="19" t="s">
        <v>90</v>
      </c>
      <c r="H119" s="17" t="s">
        <v>188</v>
      </c>
      <c r="I119" s="17" t="s">
        <v>91</v>
      </c>
      <c r="J119" s="158" t="s">
        <v>93</v>
      </c>
      <c r="K119" s="158">
        <v>600</v>
      </c>
      <c r="L119" s="10">
        <v>292</v>
      </c>
      <c r="M119" s="111" t="s">
        <v>50</v>
      </c>
      <c r="N119" s="1" t="s">
        <v>88</v>
      </c>
      <c r="O119" s="51">
        <v>100</v>
      </c>
      <c r="P119" s="24">
        <v>0</v>
      </c>
    </row>
    <row r="120" spans="1:17" ht="14.25" customHeight="1">
      <c r="A120" s="270" t="s">
        <v>94</v>
      </c>
      <c r="B120" s="17" t="s">
        <v>89</v>
      </c>
      <c r="C120" s="158" t="s">
        <v>139</v>
      </c>
      <c r="D120" s="155">
        <v>-48.351043708246195</v>
      </c>
      <c r="E120" s="155">
        <v>-10.16325332679275</v>
      </c>
      <c r="F120" s="17">
        <v>2006</v>
      </c>
      <c r="G120" s="19" t="s">
        <v>90</v>
      </c>
      <c r="H120" s="17" t="s">
        <v>188</v>
      </c>
      <c r="I120" s="17" t="s">
        <v>91</v>
      </c>
      <c r="J120" s="158" t="s">
        <v>93</v>
      </c>
      <c r="K120" s="158">
        <v>600</v>
      </c>
      <c r="L120" s="10">
        <v>292</v>
      </c>
      <c r="M120" s="111" t="s">
        <v>50</v>
      </c>
      <c r="N120" s="1" t="s">
        <v>88</v>
      </c>
      <c r="O120" s="24">
        <v>97.875</v>
      </c>
      <c r="P120" s="18">
        <v>3.3</v>
      </c>
    </row>
    <row r="121" spans="1:17" ht="14.25" customHeight="1" thickBot="1">
      <c r="A121" s="11" t="s">
        <v>94</v>
      </c>
      <c r="B121" s="21" t="s">
        <v>89</v>
      </c>
      <c r="C121" s="11" t="s">
        <v>140</v>
      </c>
      <c r="D121" s="156">
        <v>-60.028266774190257</v>
      </c>
      <c r="E121" s="156">
        <v>1.0181116273912603</v>
      </c>
      <c r="F121" s="21">
        <v>2006</v>
      </c>
      <c r="G121" s="22" t="s">
        <v>90</v>
      </c>
      <c r="H121" s="21" t="s">
        <v>188</v>
      </c>
      <c r="I121" s="21" t="s">
        <v>91</v>
      </c>
      <c r="J121" s="11" t="s">
        <v>93</v>
      </c>
      <c r="K121" s="11">
        <v>600</v>
      </c>
      <c r="L121" s="30">
        <v>292</v>
      </c>
      <c r="M121" s="114" t="s">
        <v>50</v>
      </c>
      <c r="N121" s="49" t="s">
        <v>88</v>
      </c>
      <c r="O121" s="52">
        <v>100</v>
      </c>
      <c r="P121" s="25">
        <v>0</v>
      </c>
    </row>
    <row r="122" spans="1:17" ht="14.25" customHeight="1">
      <c r="A122" s="270" t="s">
        <v>94</v>
      </c>
      <c r="B122" s="17" t="s">
        <v>89</v>
      </c>
      <c r="C122" s="20" t="s">
        <v>124</v>
      </c>
      <c r="D122" s="261"/>
      <c r="E122" s="262"/>
      <c r="F122" s="17">
        <v>2006</v>
      </c>
      <c r="G122" s="19" t="s">
        <v>90</v>
      </c>
      <c r="H122" s="17" t="s">
        <v>188</v>
      </c>
      <c r="I122" s="17" t="s">
        <v>91</v>
      </c>
      <c r="J122" s="158" t="s">
        <v>21</v>
      </c>
      <c r="K122" s="158">
        <v>600</v>
      </c>
      <c r="L122" s="10">
        <v>7</v>
      </c>
      <c r="M122" s="111" t="s">
        <v>50</v>
      </c>
      <c r="N122" s="1" t="s">
        <v>88</v>
      </c>
      <c r="O122" s="27">
        <v>100</v>
      </c>
      <c r="P122" s="24">
        <v>0</v>
      </c>
    </row>
    <row r="123" spans="1:17" ht="14.25" customHeight="1">
      <c r="A123" s="270" t="s">
        <v>94</v>
      </c>
      <c r="B123" s="17" t="s">
        <v>89</v>
      </c>
      <c r="C123" s="17" t="s">
        <v>100</v>
      </c>
      <c r="D123" s="109">
        <v>-50.439226072752597</v>
      </c>
      <c r="E123" s="109">
        <v>-21.205476000000004</v>
      </c>
      <c r="F123" s="17">
        <v>2006</v>
      </c>
      <c r="G123" s="19" t="s">
        <v>90</v>
      </c>
      <c r="H123" s="17" t="s">
        <v>188</v>
      </c>
      <c r="I123" s="17" t="s">
        <v>91</v>
      </c>
      <c r="J123" s="158" t="s">
        <v>21</v>
      </c>
      <c r="K123" s="137">
        <v>750</v>
      </c>
      <c r="L123" s="10">
        <v>14</v>
      </c>
      <c r="M123" s="111" t="s">
        <v>50</v>
      </c>
      <c r="N123" s="1" t="s">
        <v>88</v>
      </c>
      <c r="O123" s="273">
        <v>45.06</v>
      </c>
      <c r="P123" s="10">
        <v>18.273149701132532</v>
      </c>
      <c r="Q123" s="158"/>
    </row>
    <row r="124" spans="1:17" ht="14.25" customHeight="1">
      <c r="A124" s="270" t="s">
        <v>94</v>
      </c>
      <c r="B124" s="17" t="s">
        <v>89</v>
      </c>
      <c r="C124" s="158" t="s">
        <v>101</v>
      </c>
      <c r="D124" s="109">
        <v>-48.567377839455055</v>
      </c>
      <c r="E124" s="109">
        <v>-20.558455515000002</v>
      </c>
      <c r="F124" s="17">
        <v>2006</v>
      </c>
      <c r="G124" s="19" t="s">
        <v>90</v>
      </c>
      <c r="H124" s="17" t="s">
        <v>188</v>
      </c>
      <c r="I124" s="17" t="s">
        <v>91</v>
      </c>
      <c r="J124" s="158" t="s">
        <v>21</v>
      </c>
      <c r="K124" s="158">
        <v>600</v>
      </c>
      <c r="L124" s="10">
        <v>14</v>
      </c>
      <c r="M124" s="111" t="s">
        <v>50</v>
      </c>
      <c r="N124" s="1" t="s">
        <v>88</v>
      </c>
      <c r="O124" s="24">
        <v>39.799999999999997</v>
      </c>
      <c r="P124" s="10">
        <v>10</v>
      </c>
      <c r="Q124" s="158"/>
    </row>
    <row r="125" spans="1:17" ht="14.25" customHeight="1">
      <c r="A125" s="270" t="s">
        <v>94</v>
      </c>
      <c r="B125" s="17" t="s">
        <v>89</v>
      </c>
      <c r="C125" s="17" t="s">
        <v>102</v>
      </c>
      <c r="D125" s="109">
        <v>-49.083000867090362</v>
      </c>
      <c r="E125" s="109">
        <v>-22.325122500000006</v>
      </c>
      <c r="F125" s="17">
        <v>2006</v>
      </c>
      <c r="G125" s="19" t="s">
        <v>90</v>
      </c>
      <c r="H125" s="17" t="s">
        <v>188</v>
      </c>
      <c r="I125" s="17" t="s">
        <v>91</v>
      </c>
      <c r="J125" s="158" t="s">
        <v>21</v>
      </c>
      <c r="K125" s="158">
        <v>900</v>
      </c>
      <c r="L125" s="10">
        <v>14</v>
      </c>
      <c r="M125" s="111" t="s">
        <v>50</v>
      </c>
      <c r="N125" s="1" t="s">
        <v>88</v>
      </c>
      <c r="O125" s="24">
        <v>64.483333333333334</v>
      </c>
      <c r="P125" s="10">
        <v>0</v>
      </c>
      <c r="Q125" s="158"/>
    </row>
    <row r="126" spans="1:17" ht="14.25" customHeight="1">
      <c r="A126" s="270" t="s">
        <v>94</v>
      </c>
      <c r="B126" s="17" t="s">
        <v>89</v>
      </c>
      <c r="C126" s="17" t="s">
        <v>103</v>
      </c>
      <c r="D126" s="109">
        <v>-48.441289384350434</v>
      </c>
      <c r="E126" s="109">
        <v>-22.888381500000008</v>
      </c>
      <c r="F126" s="17">
        <v>2006</v>
      </c>
      <c r="G126" s="19" t="s">
        <v>90</v>
      </c>
      <c r="H126" s="17" t="s">
        <v>188</v>
      </c>
      <c r="I126" s="17" t="s">
        <v>91</v>
      </c>
      <c r="J126" s="158" t="s">
        <v>21</v>
      </c>
      <c r="K126" s="158">
        <v>750</v>
      </c>
      <c r="L126" s="10">
        <v>14</v>
      </c>
      <c r="M126" s="111" t="s">
        <v>50</v>
      </c>
      <c r="N126" s="1" t="s">
        <v>88</v>
      </c>
      <c r="O126" s="24">
        <v>83.3</v>
      </c>
      <c r="P126" s="10">
        <v>8.5185092592542286</v>
      </c>
      <c r="Q126" s="158"/>
    </row>
    <row r="127" spans="1:17" ht="14.25" customHeight="1">
      <c r="A127" s="270" t="s">
        <v>94</v>
      </c>
      <c r="B127" s="17" t="s">
        <v>89</v>
      </c>
      <c r="C127" s="17" t="s">
        <v>106</v>
      </c>
      <c r="D127" s="109">
        <v>-46.933372863488053</v>
      </c>
      <c r="E127" s="109">
        <v>-23.546934000000004</v>
      </c>
      <c r="F127" s="17">
        <v>2006</v>
      </c>
      <c r="G127" s="19" t="s">
        <v>90</v>
      </c>
      <c r="H127" s="17" t="s">
        <v>188</v>
      </c>
      <c r="I127" s="17" t="s">
        <v>91</v>
      </c>
      <c r="J127" s="158" t="s">
        <v>21</v>
      </c>
      <c r="K127" s="158">
        <v>900</v>
      </c>
      <c r="L127" s="10">
        <v>14</v>
      </c>
      <c r="M127" s="111" t="s">
        <v>50</v>
      </c>
      <c r="N127" s="1" t="s">
        <v>88</v>
      </c>
      <c r="O127" s="24">
        <v>68.916666666666671</v>
      </c>
      <c r="P127" s="53">
        <v>15.787769527918311</v>
      </c>
      <c r="Q127" s="158"/>
    </row>
    <row r="128" spans="1:17" ht="14.25" customHeight="1">
      <c r="A128" s="270" t="s">
        <v>94</v>
      </c>
      <c r="B128" s="17" t="s">
        <v>89</v>
      </c>
      <c r="C128" s="17" t="s">
        <v>130</v>
      </c>
      <c r="D128" s="109">
        <v>-46.905221141741073</v>
      </c>
      <c r="E128" s="109">
        <v>-23.529939000000002</v>
      </c>
      <c r="F128" s="17">
        <v>2006</v>
      </c>
      <c r="G128" s="19" t="s">
        <v>90</v>
      </c>
      <c r="H128" s="17" t="s">
        <v>188</v>
      </c>
      <c r="I128" s="17" t="s">
        <v>91</v>
      </c>
      <c r="J128" s="158" t="s">
        <v>21</v>
      </c>
      <c r="K128" s="158">
        <v>600</v>
      </c>
      <c r="L128" s="10">
        <v>14</v>
      </c>
      <c r="M128" s="111" t="s">
        <v>50</v>
      </c>
      <c r="N128" s="1" t="s">
        <v>88</v>
      </c>
      <c r="O128" s="24">
        <v>57.2</v>
      </c>
      <c r="P128" s="10">
        <v>9.6045128281796046</v>
      </c>
      <c r="Q128" s="158"/>
    </row>
    <row r="129" spans="1:17" ht="14.25" customHeight="1">
      <c r="A129" s="270" t="s">
        <v>94</v>
      </c>
      <c r="B129" s="17" t="s">
        <v>89</v>
      </c>
      <c r="C129" s="17" t="s">
        <v>108</v>
      </c>
      <c r="D129" s="109">
        <v>-51.386765581912492</v>
      </c>
      <c r="E129" s="109">
        <v>-24.494251427999906</v>
      </c>
      <c r="F129" s="17">
        <v>2006</v>
      </c>
      <c r="G129" s="19" t="s">
        <v>90</v>
      </c>
      <c r="H129" s="17" t="s">
        <v>188</v>
      </c>
      <c r="I129" s="17" t="s">
        <v>91</v>
      </c>
      <c r="J129" s="158" t="s">
        <v>21</v>
      </c>
      <c r="K129" s="137">
        <v>1050</v>
      </c>
      <c r="L129" s="10">
        <v>14</v>
      </c>
      <c r="M129" s="111" t="s">
        <v>50</v>
      </c>
      <c r="N129" s="1" t="s">
        <v>88</v>
      </c>
      <c r="O129" s="273">
        <v>53.371428571428567</v>
      </c>
      <c r="P129" s="10">
        <v>23.9736462451108</v>
      </c>
      <c r="Q129" s="158"/>
    </row>
    <row r="130" spans="1:17" ht="14.25" customHeight="1">
      <c r="A130" s="270" t="s">
        <v>94</v>
      </c>
      <c r="B130" s="17" t="s">
        <v>89</v>
      </c>
      <c r="C130" s="17" t="s">
        <v>109</v>
      </c>
      <c r="D130" s="109">
        <v>-47.805475915541528</v>
      </c>
      <c r="E130" s="109">
        <v>-21.184834500000004</v>
      </c>
      <c r="F130" s="17">
        <v>2006</v>
      </c>
      <c r="G130" s="19" t="s">
        <v>90</v>
      </c>
      <c r="H130" s="17" t="s">
        <v>188</v>
      </c>
      <c r="I130" s="17" t="s">
        <v>91</v>
      </c>
      <c r="J130" s="158" t="s">
        <v>21</v>
      </c>
      <c r="K130" s="158">
        <v>600</v>
      </c>
      <c r="L130" s="10">
        <v>14</v>
      </c>
      <c r="M130" s="111" t="s">
        <v>50</v>
      </c>
      <c r="N130" s="1" t="s">
        <v>88</v>
      </c>
      <c r="O130" s="273">
        <v>38.825000000000003</v>
      </c>
      <c r="P130" s="10">
        <v>22.835261475767389</v>
      </c>
      <c r="Q130" s="158"/>
    </row>
    <row r="131" spans="1:17" ht="14.25" customHeight="1">
      <c r="A131" s="270" t="s">
        <v>94</v>
      </c>
      <c r="B131" s="17" t="s">
        <v>89</v>
      </c>
      <c r="C131" s="17" t="s">
        <v>110</v>
      </c>
      <c r="D131" s="109">
        <v>-46.331370849190684</v>
      </c>
      <c r="E131" s="109">
        <v>-23.933737500000003</v>
      </c>
      <c r="F131" s="17">
        <v>2006</v>
      </c>
      <c r="G131" s="19" t="s">
        <v>90</v>
      </c>
      <c r="H131" s="17" t="s">
        <v>188</v>
      </c>
      <c r="I131" s="17" t="s">
        <v>91</v>
      </c>
      <c r="J131" s="158" t="s">
        <v>21</v>
      </c>
      <c r="K131" s="137">
        <v>600</v>
      </c>
      <c r="L131" s="10">
        <v>14</v>
      </c>
      <c r="M131" s="111" t="s">
        <v>50</v>
      </c>
      <c r="N131" s="1" t="s">
        <v>88</v>
      </c>
      <c r="O131" s="273">
        <v>25.424999999999997</v>
      </c>
      <c r="P131" s="10">
        <v>11.990100082985141</v>
      </c>
      <c r="Q131" s="158"/>
    </row>
    <row r="132" spans="1:17" ht="14.25" customHeight="1">
      <c r="A132" s="270" t="s">
        <v>94</v>
      </c>
      <c r="B132" s="17" t="s">
        <v>89</v>
      </c>
      <c r="C132" s="17" t="s">
        <v>111</v>
      </c>
      <c r="D132" s="109">
        <v>-47.889237684691636</v>
      </c>
      <c r="E132" s="109">
        <v>-22.015998500000002</v>
      </c>
      <c r="F132" s="17">
        <v>2006</v>
      </c>
      <c r="G132" s="19" t="s">
        <v>90</v>
      </c>
      <c r="H132" s="17" t="s">
        <v>188</v>
      </c>
      <c r="I132" s="17" t="s">
        <v>91</v>
      </c>
      <c r="J132" s="158" t="s">
        <v>21</v>
      </c>
      <c r="K132" s="158">
        <v>750</v>
      </c>
      <c r="L132" s="10">
        <v>14</v>
      </c>
      <c r="M132" s="111" t="s">
        <v>50</v>
      </c>
      <c r="N132" s="1" t="s">
        <v>88</v>
      </c>
      <c r="O132" s="24">
        <v>71.820000000000007</v>
      </c>
      <c r="P132" s="10">
        <v>8.3133627371839829</v>
      </c>
      <c r="Q132" s="158"/>
    </row>
    <row r="133" spans="1:17" ht="14.25" customHeight="1">
      <c r="A133" s="270" t="s">
        <v>94</v>
      </c>
      <c r="B133" s="17" t="s">
        <v>89</v>
      </c>
      <c r="C133" s="17" t="s">
        <v>131</v>
      </c>
      <c r="D133" s="109">
        <v>-49.381347685025794</v>
      </c>
      <c r="E133" s="109">
        <v>-20.812636500000004</v>
      </c>
      <c r="F133" s="17">
        <v>2006</v>
      </c>
      <c r="G133" s="19" t="s">
        <v>90</v>
      </c>
      <c r="H133" s="17" t="s">
        <v>188</v>
      </c>
      <c r="I133" s="17" t="s">
        <v>91</v>
      </c>
      <c r="J133" s="158" t="s">
        <v>21</v>
      </c>
      <c r="K133" s="137">
        <v>600</v>
      </c>
      <c r="L133" s="10">
        <v>14</v>
      </c>
      <c r="M133" s="111" t="s">
        <v>50</v>
      </c>
      <c r="N133" s="1" t="s">
        <v>88</v>
      </c>
      <c r="O133" s="274">
        <v>65.550000000000011</v>
      </c>
      <c r="P133" s="10">
        <v>7.6177424477332929</v>
      </c>
      <c r="Q133" s="158"/>
    </row>
    <row r="134" spans="1:17" ht="14.25" customHeight="1">
      <c r="A134" s="270" t="s">
        <v>94</v>
      </c>
      <c r="B134" s="17" t="s">
        <v>89</v>
      </c>
      <c r="C134" s="17" t="s">
        <v>113</v>
      </c>
      <c r="D134" s="109">
        <v>-45.402680140543957</v>
      </c>
      <c r="E134" s="109">
        <v>-23.806687652148753</v>
      </c>
      <c r="F134" s="17">
        <v>2006</v>
      </c>
      <c r="G134" s="19" t="s">
        <v>90</v>
      </c>
      <c r="H134" s="17" t="s">
        <v>188</v>
      </c>
      <c r="I134" s="17" t="s">
        <v>91</v>
      </c>
      <c r="J134" s="158" t="s">
        <v>21</v>
      </c>
      <c r="K134" s="158">
        <v>600</v>
      </c>
      <c r="L134" s="10">
        <v>14</v>
      </c>
      <c r="M134" s="111" t="s">
        <v>50</v>
      </c>
      <c r="N134" s="1" t="s">
        <v>88</v>
      </c>
      <c r="O134" s="10">
        <v>30.075000000000003</v>
      </c>
      <c r="P134" s="10">
        <v>17.574674013098125</v>
      </c>
      <c r="Q134" s="158"/>
    </row>
    <row r="135" spans="1:17" ht="14.25" customHeight="1">
      <c r="A135" s="270" t="s">
        <v>94</v>
      </c>
      <c r="B135" s="17" t="s">
        <v>89</v>
      </c>
      <c r="C135" s="17" t="s">
        <v>136</v>
      </c>
      <c r="D135" s="109">
        <v>-48.208705251855818</v>
      </c>
      <c r="E135" s="109">
        <v>-7.191328939654956</v>
      </c>
      <c r="F135" s="17">
        <v>2006</v>
      </c>
      <c r="G135" s="19" t="s">
        <v>90</v>
      </c>
      <c r="H135" s="17" t="s">
        <v>188</v>
      </c>
      <c r="I135" s="17" t="s">
        <v>91</v>
      </c>
      <c r="J135" s="158" t="s">
        <v>21</v>
      </c>
      <c r="K135" s="158">
        <v>750</v>
      </c>
      <c r="L135" s="10">
        <v>14</v>
      </c>
      <c r="M135" s="111" t="s">
        <v>50</v>
      </c>
      <c r="N135" s="1" t="s">
        <v>88</v>
      </c>
      <c r="O135" s="10">
        <v>71.460000000000008</v>
      </c>
      <c r="P135" s="10">
        <v>21.043716401814553</v>
      </c>
      <c r="Q135" s="158"/>
    </row>
    <row r="136" spans="1:17" ht="14.25" customHeight="1">
      <c r="A136" s="270" t="s">
        <v>94</v>
      </c>
      <c r="B136" s="17" t="s">
        <v>89</v>
      </c>
      <c r="C136" s="17" t="s">
        <v>28</v>
      </c>
      <c r="D136" s="155">
        <v>-38.589927555043182</v>
      </c>
      <c r="E136" s="155">
        <v>-3.7238050350000007</v>
      </c>
      <c r="F136" s="17">
        <v>2006</v>
      </c>
      <c r="G136" s="19" t="s">
        <v>90</v>
      </c>
      <c r="H136" s="17" t="s">
        <v>188</v>
      </c>
      <c r="I136" s="17" t="s">
        <v>91</v>
      </c>
      <c r="J136" s="158" t="s">
        <v>21</v>
      </c>
      <c r="K136" s="158">
        <v>600</v>
      </c>
      <c r="L136" s="10">
        <v>14</v>
      </c>
      <c r="M136" s="111" t="s">
        <v>50</v>
      </c>
      <c r="N136" s="1" t="s">
        <v>88</v>
      </c>
      <c r="O136" s="10">
        <v>43.35</v>
      </c>
      <c r="P136" s="10">
        <v>28.679551367946235</v>
      </c>
      <c r="Q136" s="158"/>
    </row>
    <row r="137" spans="1:17" ht="14.25" customHeight="1">
      <c r="A137" s="270" t="s">
        <v>94</v>
      </c>
      <c r="B137" s="17" t="s">
        <v>89</v>
      </c>
      <c r="C137" s="17" t="s">
        <v>29</v>
      </c>
      <c r="D137" s="155">
        <v>-38.589927555043182</v>
      </c>
      <c r="E137" s="155">
        <v>-3.7238050350000007</v>
      </c>
      <c r="F137" s="17">
        <v>2006</v>
      </c>
      <c r="G137" s="19" t="s">
        <v>90</v>
      </c>
      <c r="H137" s="17" t="s">
        <v>188</v>
      </c>
      <c r="I137" s="17" t="s">
        <v>91</v>
      </c>
      <c r="J137" s="158" t="s">
        <v>21</v>
      </c>
      <c r="K137" s="158">
        <v>900</v>
      </c>
      <c r="L137" s="10">
        <v>14</v>
      </c>
      <c r="M137" s="111" t="s">
        <v>50</v>
      </c>
      <c r="N137" s="1" t="s">
        <v>88</v>
      </c>
      <c r="O137" s="10">
        <v>29.849999999999998</v>
      </c>
      <c r="P137" s="10">
        <v>20.091067667000676</v>
      </c>
      <c r="Q137" s="158"/>
    </row>
    <row r="138" spans="1:17" ht="14.25" customHeight="1">
      <c r="A138" s="270" t="s">
        <v>94</v>
      </c>
      <c r="B138" s="17" t="s">
        <v>89</v>
      </c>
      <c r="C138" s="17" t="s">
        <v>12</v>
      </c>
      <c r="D138" s="109">
        <v>-38.589927555043182</v>
      </c>
      <c r="E138" s="109">
        <v>-3.7238050350000007</v>
      </c>
      <c r="F138" s="17">
        <v>2006</v>
      </c>
      <c r="G138" s="19" t="s">
        <v>90</v>
      </c>
      <c r="H138" s="17" t="s">
        <v>188</v>
      </c>
      <c r="I138" s="17" t="s">
        <v>91</v>
      </c>
      <c r="J138" s="158" t="s">
        <v>21</v>
      </c>
      <c r="K138" s="158">
        <v>750</v>
      </c>
      <c r="L138" s="10">
        <v>14</v>
      </c>
      <c r="M138" s="111" t="s">
        <v>50</v>
      </c>
      <c r="N138" s="1" t="s">
        <v>88</v>
      </c>
      <c r="O138" s="10">
        <v>47.28</v>
      </c>
      <c r="P138" s="10">
        <v>26.463030816593928</v>
      </c>
      <c r="Q138" s="158"/>
    </row>
    <row r="139" spans="1:17" ht="14.25" customHeight="1">
      <c r="A139" s="270" t="s">
        <v>94</v>
      </c>
      <c r="B139" s="17" t="s">
        <v>89</v>
      </c>
      <c r="C139" s="17" t="s">
        <v>13</v>
      </c>
      <c r="D139" s="109">
        <v>-38.589927555043182</v>
      </c>
      <c r="E139" s="109">
        <v>-3.7238050350000007</v>
      </c>
      <c r="F139" s="17">
        <v>2006</v>
      </c>
      <c r="G139" s="19" t="s">
        <v>90</v>
      </c>
      <c r="H139" s="17" t="s">
        <v>188</v>
      </c>
      <c r="I139" s="17" t="s">
        <v>91</v>
      </c>
      <c r="J139" s="158" t="s">
        <v>21</v>
      </c>
      <c r="K139" s="158">
        <v>1050</v>
      </c>
      <c r="L139" s="10">
        <v>14</v>
      </c>
      <c r="M139" s="111" t="s">
        <v>50</v>
      </c>
      <c r="N139" s="1" t="s">
        <v>88</v>
      </c>
      <c r="O139" s="10">
        <v>40.5</v>
      </c>
      <c r="P139" s="10">
        <v>13.822927813358975</v>
      </c>
      <c r="Q139" s="158"/>
    </row>
    <row r="140" spans="1:17" ht="14.25" customHeight="1">
      <c r="A140" s="270" t="s">
        <v>94</v>
      </c>
      <c r="B140" s="17" t="s">
        <v>89</v>
      </c>
      <c r="C140" s="17" t="s">
        <v>14</v>
      </c>
      <c r="D140" s="109">
        <v>-38.589927555043182</v>
      </c>
      <c r="E140" s="109">
        <v>-3.7238050350000007</v>
      </c>
      <c r="F140" s="17">
        <v>2006</v>
      </c>
      <c r="G140" s="19" t="s">
        <v>90</v>
      </c>
      <c r="H140" s="17" t="s">
        <v>188</v>
      </c>
      <c r="I140" s="17" t="s">
        <v>91</v>
      </c>
      <c r="J140" s="158" t="s">
        <v>21</v>
      </c>
      <c r="K140" s="5">
        <v>600</v>
      </c>
      <c r="L140" s="10">
        <v>14</v>
      </c>
      <c r="M140" s="111" t="s">
        <v>50</v>
      </c>
      <c r="N140" s="1" t="s">
        <v>88</v>
      </c>
      <c r="O140" s="10">
        <v>31</v>
      </c>
      <c r="P140" s="10">
        <v>10.862780491200215</v>
      </c>
      <c r="Q140" s="158"/>
    </row>
    <row r="141" spans="1:17" ht="14.25" customHeight="1">
      <c r="A141" s="270" t="s">
        <v>94</v>
      </c>
      <c r="B141" s="17" t="s">
        <v>89</v>
      </c>
      <c r="C141" s="17" t="s">
        <v>146</v>
      </c>
      <c r="D141" s="109">
        <v>-54.58710248860465</v>
      </c>
      <c r="E141" s="109">
        <v>-25.542493279529253</v>
      </c>
      <c r="F141" s="17">
        <v>2006</v>
      </c>
      <c r="G141" s="19" t="s">
        <v>90</v>
      </c>
      <c r="H141" s="17" t="s">
        <v>188</v>
      </c>
      <c r="I141" s="17" t="s">
        <v>91</v>
      </c>
      <c r="J141" s="158" t="s">
        <v>21</v>
      </c>
      <c r="K141" s="158">
        <v>600</v>
      </c>
      <c r="L141" s="10">
        <v>14</v>
      </c>
      <c r="M141" s="111" t="s">
        <v>50</v>
      </c>
      <c r="N141" s="1" t="s">
        <v>88</v>
      </c>
      <c r="O141" s="10">
        <v>84.575000000000003</v>
      </c>
      <c r="P141" s="158">
        <v>9.5</v>
      </c>
      <c r="Q141" s="158"/>
    </row>
    <row r="142" spans="1:17" ht="14.25" customHeight="1">
      <c r="A142" s="270" t="s">
        <v>94</v>
      </c>
      <c r="B142" s="17" t="s">
        <v>89</v>
      </c>
      <c r="C142" s="158" t="s">
        <v>137</v>
      </c>
      <c r="D142" s="109">
        <v>-51.162773423878093</v>
      </c>
      <c r="E142" s="109">
        <v>-23.312156000000005</v>
      </c>
      <c r="F142" s="17">
        <v>2006</v>
      </c>
      <c r="G142" s="19" t="s">
        <v>90</v>
      </c>
      <c r="H142" s="17" t="s">
        <v>188</v>
      </c>
      <c r="I142" s="17" t="s">
        <v>91</v>
      </c>
      <c r="J142" s="158" t="s">
        <v>21</v>
      </c>
      <c r="K142" s="158">
        <v>600</v>
      </c>
      <c r="L142" s="10">
        <v>14</v>
      </c>
      <c r="M142" s="111" t="s">
        <v>50</v>
      </c>
      <c r="N142" s="1" t="s">
        <v>88</v>
      </c>
      <c r="O142" s="10">
        <v>59.625</v>
      </c>
      <c r="P142" s="158">
        <v>13.2</v>
      </c>
      <c r="Q142" s="158"/>
    </row>
    <row r="143" spans="1:17" ht="14.25" customHeight="1">
      <c r="A143" s="270" t="s">
        <v>94</v>
      </c>
      <c r="B143" s="17" t="s">
        <v>89</v>
      </c>
      <c r="C143" s="17" t="s">
        <v>138</v>
      </c>
      <c r="D143" s="109">
        <v>-51.939881870252066</v>
      </c>
      <c r="E143" s="109">
        <v>-23.422280000000004</v>
      </c>
      <c r="F143" s="17">
        <v>2006</v>
      </c>
      <c r="G143" s="19" t="s">
        <v>90</v>
      </c>
      <c r="H143" s="17" t="s">
        <v>188</v>
      </c>
      <c r="I143" s="17" t="s">
        <v>91</v>
      </c>
      <c r="J143" s="158" t="s">
        <v>21</v>
      </c>
      <c r="K143" s="158">
        <v>600</v>
      </c>
      <c r="L143" s="10">
        <v>14</v>
      </c>
      <c r="M143" s="111" t="s">
        <v>50</v>
      </c>
      <c r="N143" s="1" t="s">
        <v>88</v>
      </c>
      <c r="O143" s="10">
        <v>70.922499999999999</v>
      </c>
      <c r="P143" s="158">
        <v>4.4000000000000004</v>
      </c>
      <c r="Q143" s="158"/>
    </row>
    <row r="144" spans="1:17" ht="14.25" customHeight="1">
      <c r="A144" s="270" t="s">
        <v>94</v>
      </c>
      <c r="B144" s="17" t="s">
        <v>89</v>
      </c>
      <c r="C144" s="158" t="s">
        <v>139</v>
      </c>
      <c r="D144" s="155">
        <v>-48.351043708246195</v>
      </c>
      <c r="E144" s="155">
        <v>-10.16325332679275</v>
      </c>
      <c r="F144" s="17">
        <v>2006</v>
      </c>
      <c r="G144" s="19" t="s">
        <v>90</v>
      </c>
      <c r="H144" s="17" t="s">
        <v>188</v>
      </c>
      <c r="I144" s="17" t="s">
        <v>91</v>
      </c>
      <c r="J144" s="158" t="s">
        <v>21</v>
      </c>
      <c r="K144" s="158">
        <v>600</v>
      </c>
      <c r="L144" s="10">
        <v>14</v>
      </c>
      <c r="M144" s="111" t="s">
        <v>50</v>
      </c>
      <c r="N144" s="1" t="s">
        <v>88</v>
      </c>
      <c r="O144" s="10">
        <v>31.2</v>
      </c>
      <c r="P144" s="158">
        <v>8.8000000000000007</v>
      </c>
      <c r="Q144" s="158"/>
    </row>
    <row r="145" spans="1:17" ht="14.25" customHeight="1" thickBot="1">
      <c r="A145" s="11" t="s">
        <v>94</v>
      </c>
      <c r="B145" s="21" t="s">
        <v>89</v>
      </c>
      <c r="C145" s="11" t="s">
        <v>140</v>
      </c>
      <c r="D145" s="156">
        <v>-60.028266774190257</v>
      </c>
      <c r="E145" s="156">
        <v>1.0181116273912603</v>
      </c>
      <c r="F145" s="21">
        <v>2006</v>
      </c>
      <c r="G145" s="22" t="s">
        <v>90</v>
      </c>
      <c r="H145" s="21" t="s">
        <v>188</v>
      </c>
      <c r="I145" s="21" t="s">
        <v>91</v>
      </c>
      <c r="J145" s="11" t="s">
        <v>21</v>
      </c>
      <c r="K145" s="11">
        <v>600</v>
      </c>
      <c r="L145" s="30">
        <v>14</v>
      </c>
      <c r="M145" s="114" t="s">
        <v>50</v>
      </c>
      <c r="N145" s="49" t="s">
        <v>88</v>
      </c>
      <c r="O145" s="30">
        <v>68.875</v>
      </c>
      <c r="P145" s="11">
        <v>12</v>
      </c>
      <c r="Q145" s="11"/>
    </row>
    <row r="146" spans="1:17" ht="14.25" customHeight="1">
      <c r="C146" s="17"/>
      <c r="D146" s="17"/>
      <c r="K146" s="158"/>
    </row>
    <row r="147" spans="1:17" ht="14.25" customHeight="1">
      <c r="C147" s="2"/>
      <c r="D147" s="2"/>
      <c r="E147" s="2"/>
      <c r="G147" s="18" t="s">
        <v>99</v>
      </c>
    </row>
    <row r="148" spans="1:17" ht="14.25" customHeight="1">
      <c r="C148" s="2"/>
      <c r="D148" s="2"/>
      <c r="E148" s="2"/>
    </row>
    <row r="149" spans="1:17" ht="14.25" customHeight="1">
      <c r="C149" s="2"/>
      <c r="D149" s="2"/>
      <c r="E149" s="2"/>
    </row>
    <row r="150" spans="1:17" ht="14.25" customHeight="1">
      <c r="C150" s="2"/>
      <c r="D150" s="2"/>
      <c r="E150" s="2"/>
    </row>
    <row r="151" spans="1:17" ht="14.25" customHeight="1">
      <c r="C151" s="2"/>
      <c r="D151" s="2"/>
      <c r="E151" s="2"/>
    </row>
    <row r="152" spans="1:17" ht="14.25" customHeight="1">
      <c r="C152" s="2"/>
      <c r="D152" s="2"/>
      <c r="E152" s="2"/>
    </row>
    <row r="153" spans="1:17" ht="14.25" customHeight="1">
      <c r="C153" s="2"/>
      <c r="D153" s="2"/>
      <c r="E153" s="2"/>
    </row>
    <row r="154" spans="1:17" ht="14.25" customHeight="1">
      <c r="C154" s="2"/>
      <c r="D154" s="2"/>
      <c r="E154" s="2"/>
    </row>
    <row r="155" spans="1:17" ht="14.25" customHeight="1">
      <c r="C155" s="2"/>
      <c r="D155" s="2"/>
      <c r="E155" s="2"/>
    </row>
    <row r="156" spans="1:17" ht="14.25" customHeight="1">
      <c r="C156" s="2"/>
      <c r="D156" s="2"/>
      <c r="E156" s="2"/>
    </row>
    <row r="157" spans="1:17" ht="14.25" customHeight="1">
      <c r="C157" s="2"/>
      <c r="D157" s="2"/>
      <c r="E157" s="2"/>
    </row>
    <row r="158" spans="1:17" ht="14.25" customHeight="1">
      <c r="C158" s="2"/>
      <c r="D158" s="2"/>
      <c r="E158" s="2"/>
    </row>
    <row r="159" spans="1:17" ht="14.25" customHeight="1">
      <c r="C159" s="2"/>
      <c r="D159" s="2"/>
      <c r="E159" s="2"/>
    </row>
    <row r="160" spans="1:17" ht="14.25" customHeight="1">
      <c r="C160" s="2"/>
      <c r="D160" s="2"/>
      <c r="E160" s="2"/>
    </row>
    <row r="161" spans="3:5" ht="14.25" customHeight="1">
      <c r="C161" s="2"/>
      <c r="D161" s="2"/>
      <c r="E161" s="2"/>
    </row>
    <row r="162" spans="3:5" ht="14.25" customHeight="1">
      <c r="C162" s="2"/>
      <c r="D162" s="2"/>
      <c r="E162" s="2"/>
    </row>
    <row r="163" spans="3:5" ht="14.25" customHeight="1">
      <c r="C163" s="2"/>
      <c r="D163" s="2"/>
      <c r="E163" s="2"/>
    </row>
    <row r="164" spans="3:5" ht="14.25" customHeight="1">
      <c r="C164" s="2"/>
      <c r="D164" s="2"/>
      <c r="E164" s="2"/>
    </row>
    <row r="165" spans="3:5" ht="14.25" customHeight="1">
      <c r="C165" s="2"/>
    </row>
    <row r="166" spans="3:5" ht="14.25" customHeight="1">
      <c r="C166" s="2"/>
    </row>
    <row r="167" spans="3:5" ht="14.25" customHeight="1">
      <c r="C167" s="2"/>
    </row>
    <row r="168" spans="3:5" ht="14.25" customHeight="1">
      <c r="C168" s="2"/>
    </row>
    <row r="169" spans="3:5" ht="14.25" customHeight="1">
      <c r="C169" s="2"/>
    </row>
    <row r="170" spans="3:5" ht="14.25" customHeight="1">
      <c r="C170" s="2"/>
    </row>
    <row r="171" spans="3:5" ht="14.25" customHeight="1">
      <c r="C171" s="2"/>
    </row>
    <row r="172" spans="3:5" ht="14.25" customHeight="1">
      <c r="C172" s="2"/>
    </row>
    <row r="173" spans="3:5" ht="14.25" customHeight="1">
      <c r="C173" s="2"/>
    </row>
    <row r="174" spans="3:5" ht="14.25" customHeight="1">
      <c r="C174" s="2"/>
    </row>
    <row r="175" spans="3:5" ht="14.25" customHeight="1">
      <c r="C175" s="2"/>
    </row>
    <row r="176" spans="3:5" ht="14.25" customHeight="1">
      <c r="C176" s="2"/>
    </row>
    <row r="177" spans="3:3" ht="14.25" customHeight="1">
      <c r="C177" s="2"/>
    </row>
    <row r="178" spans="3:3" ht="14.25" customHeight="1">
      <c r="C178" s="2"/>
    </row>
    <row r="179" spans="3:3" ht="14.25" customHeight="1">
      <c r="C179" s="2"/>
    </row>
    <row r="180" spans="3:3" ht="14.25" customHeight="1">
      <c r="C180" s="2"/>
    </row>
    <row r="181" spans="3:3" ht="14.25" customHeight="1">
      <c r="C181" s="2"/>
    </row>
    <row r="182" spans="3:3" ht="14.25" customHeight="1">
      <c r="C182" s="2"/>
    </row>
  </sheetData>
  <sheetCalcPr fullCalcOnLoad="1"/>
  <phoneticPr fontId="48" type="noConversion"/>
  <conditionalFormatting sqref="O51:O61 O63:O73">
    <cfRule type="cellIs" dxfId="167" priority="238" stopIfTrue="1" operator="between">
      <formula>0</formula>
      <formula>79.9</formula>
    </cfRule>
    <cfRule type="cellIs" dxfId="166" priority="239" stopIfTrue="1" operator="between">
      <formula>80</formula>
      <formula>97.9</formula>
    </cfRule>
    <cfRule type="cellIs" dxfId="165" priority="240" stopIfTrue="1" operator="between">
      <formula>98</formula>
      <formula>100</formula>
    </cfRule>
  </conditionalFormatting>
  <conditionalFormatting sqref="C142 C145">
    <cfRule type="cellIs" dxfId="164" priority="214" stopIfTrue="1" operator="between">
      <formula>0</formula>
      <formula>79.9</formula>
    </cfRule>
    <cfRule type="cellIs" dxfId="163" priority="215" stopIfTrue="1" operator="between">
      <formula>80</formula>
      <formula>97.9</formula>
    </cfRule>
    <cfRule type="cellIs" dxfId="162" priority="216" stopIfTrue="1" operator="between">
      <formula>98</formula>
      <formula>100</formula>
    </cfRule>
  </conditionalFormatting>
  <conditionalFormatting sqref="C75 C77:C86">
    <cfRule type="cellIs" dxfId="161" priority="232" stopIfTrue="1" operator="between">
      <formula>0</formula>
      <formula>79.9</formula>
    </cfRule>
    <cfRule type="cellIs" dxfId="160" priority="233" stopIfTrue="1" operator="between">
      <formula>80</formula>
      <formula>97.9</formula>
    </cfRule>
    <cfRule type="cellIs" dxfId="159" priority="234" stopIfTrue="1" operator="between">
      <formula>98</formula>
      <formula>100</formula>
    </cfRule>
  </conditionalFormatting>
  <conditionalFormatting sqref="C97">
    <cfRule type="cellIs" dxfId="158" priority="226" stopIfTrue="1" operator="between">
      <formula>0</formula>
      <formula>79.9</formula>
    </cfRule>
    <cfRule type="cellIs" dxfId="157" priority="227" stopIfTrue="1" operator="between">
      <formula>80</formula>
      <formula>97.9</formula>
    </cfRule>
    <cfRule type="cellIs" dxfId="156" priority="228" stopIfTrue="1" operator="between">
      <formula>98</formula>
      <formula>100</formula>
    </cfRule>
  </conditionalFormatting>
  <conditionalFormatting sqref="C99 C101:C110">
    <cfRule type="cellIs" dxfId="155" priority="223" stopIfTrue="1" operator="between">
      <formula>0</formula>
      <formula>79.9</formula>
    </cfRule>
    <cfRule type="cellIs" dxfId="154" priority="224" stopIfTrue="1" operator="between">
      <formula>80</formula>
      <formula>97.9</formula>
    </cfRule>
    <cfRule type="cellIs" dxfId="153" priority="225" stopIfTrue="1" operator="between">
      <formula>98</formula>
      <formula>100</formula>
    </cfRule>
  </conditionalFormatting>
  <conditionalFormatting sqref="C123 C125:C134">
    <cfRule type="cellIs" dxfId="152" priority="217" stopIfTrue="1" operator="between">
      <formula>0</formula>
      <formula>79.9</formula>
    </cfRule>
    <cfRule type="cellIs" dxfId="151" priority="218" stopIfTrue="1" operator="between">
      <formula>80</formula>
      <formula>97.9</formula>
    </cfRule>
    <cfRule type="cellIs" dxfId="150" priority="219" stopIfTrue="1" operator="between">
      <formula>98</formula>
      <formula>100</formula>
    </cfRule>
  </conditionalFormatting>
  <conditionalFormatting sqref="C118 C121">
    <cfRule type="cellIs" dxfId="149" priority="211" stopIfTrue="1" operator="between">
      <formula>0</formula>
      <formula>79.9</formula>
    </cfRule>
    <cfRule type="cellIs" dxfId="148" priority="212" stopIfTrue="1" operator="between">
      <formula>80</formula>
      <formula>97.9</formula>
    </cfRule>
    <cfRule type="cellIs" dxfId="147" priority="213" stopIfTrue="1" operator="between">
      <formula>98</formula>
      <formula>100</formula>
    </cfRule>
  </conditionalFormatting>
  <conditionalFormatting sqref="C94:D94 D90:D92 D95">
    <cfRule type="cellIs" dxfId="146" priority="208" stopIfTrue="1" operator="between">
      <formula>0</formula>
      <formula>79.9</formula>
    </cfRule>
    <cfRule type="cellIs" dxfId="145" priority="209" stopIfTrue="1" operator="between">
      <formula>80</formula>
      <formula>97.9</formula>
    </cfRule>
    <cfRule type="cellIs" dxfId="144" priority="210" stopIfTrue="1" operator="between">
      <formula>98</formula>
      <formula>100</formula>
    </cfRule>
  </conditionalFormatting>
  <conditionalFormatting sqref="D23">
    <cfRule type="cellIs" dxfId="143" priority="82" stopIfTrue="1" operator="between">
      <formula>0</formula>
      <formula>79.9</formula>
    </cfRule>
    <cfRule type="cellIs" dxfId="142" priority="83" stopIfTrue="1" operator="between">
      <formula>80</formula>
      <formula>97.9</formula>
    </cfRule>
    <cfRule type="cellIs" dxfId="141" priority="84" stopIfTrue="1" operator="between">
      <formula>98</formula>
      <formula>100</formula>
    </cfRule>
  </conditionalFormatting>
  <conditionalFormatting sqref="D24:D25">
    <cfRule type="cellIs" dxfId="140" priority="100" stopIfTrue="1" operator="between">
      <formula>0</formula>
      <formula>79.9</formula>
    </cfRule>
    <cfRule type="cellIs" dxfId="139" priority="101" stopIfTrue="1" operator="between">
      <formula>80</formula>
      <formula>97.9</formula>
    </cfRule>
    <cfRule type="cellIs" dxfId="138" priority="102" stopIfTrue="1" operator="between">
      <formula>98</formula>
      <formula>100</formula>
    </cfRule>
  </conditionalFormatting>
  <conditionalFormatting sqref="D19">
    <cfRule type="cellIs" dxfId="137" priority="97" stopIfTrue="1" operator="between">
      <formula>0</formula>
      <formula>79.9</formula>
    </cfRule>
    <cfRule type="cellIs" dxfId="136" priority="98" stopIfTrue="1" operator="between">
      <formula>80</formula>
      <formula>97.9</formula>
    </cfRule>
    <cfRule type="cellIs" dxfId="135" priority="99" stopIfTrue="1" operator="between">
      <formula>98</formula>
      <formula>100</formula>
    </cfRule>
  </conditionalFormatting>
  <conditionalFormatting sqref="D17">
    <cfRule type="cellIs" dxfId="134" priority="94" stopIfTrue="1" operator="between">
      <formula>0</formula>
      <formula>79.9</formula>
    </cfRule>
    <cfRule type="cellIs" dxfId="133" priority="95" stopIfTrue="1" operator="between">
      <formula>80</formula>
      <formula>97.9</formula>
    </cfRule>
    <cfRule type="cellIs" dxfId="132" priority="96" stopIfTrue="1" operator="between">
      <formula>98</formula>
      <formula>100</formula>
    </cfRule>
  </conditionalFormatting>
  <conditionalFormatting sqref="D15">
    <cfRule type="cellIs" dxfId="131" priority="91" stopIfTrue="1" operator="between">
      <formula>0</formula>
      <formula>79.9</formula>
    </cfRule>
    <cfRule type="cellIs" dxfId="130" priority="92" stopIfTrue="1" operator="between">
      <formula>80</formula>
      <formula>97.9</formula>
    </cfRule>
    <cfRule type="cellIs" dxfId="129" priority="93" stopIfTrue="1" operator="between">
      <formula>98</formula>
      <formula>100</formula>
    </cfRule>
  </conditionalFormatting>
  <conditionalFormatting sqref="D16">
    <cfRule type="cellIs" dxfId="128" priority="88" stopIfTrue="1" operator="between">
      <formula>0</formula>
      <formula>79.9</formula>
    </cfRule>
    <cfRule type="cellIs" dxfId="127" priority="89" stopIfTrue="1" operator="between">
      <formula>80</formula>
      <formula>97.9</formula>
    </cfRule>
    <cfRule type="cellIs" dxfId="126" priority="90" stopIfTrue="1" operator="between">
      <formula>98</formula>
      <formula>100</formula>
    </cfRule>
  </conditionalFormatting>
  <conditionalFormatting sqref="D20:D21">
    <cfRule type="cellIs" dxfId="125" priority="85" stopIfTrue="1" operator="between">
      <formula>0</formula>
      <formula>79.9</formula>
    </cfRule>
    <cfRule type="cellIs" dxfId="124" priority="86" stopIfTrue="1" operator="between">
      <formula>80</formula>
      <formula>97.9</formula>
    </cfRule>
    <cfRule type="cellIs" dxfId="123" priority="87" stopIfTrue="1" operator="between">
      <formula>98</formula>
      <formula>100</formula>
    </cfRule>
  </conditionalFormatting>
  <conditionalFormatting sqref="D47">
    <cfRule type="cellIs" dxfId="122" priority="61" stopIfTrue="1" operator="between">
      <formula>0</formula>
      <formula>79.9</formula>
    </cfRule>
    <cfRule type="cellIs" dxfId="121" priority="62" stopIfTrue="1" operator="between">
      <formula>80</formula>
      <formula>97.9</formula>
    </cfRule>
    <cfRule type="cellIs" dxfId="120" priority="63" stopIfTrue="1" operator="between">
      <formula>98</formula>
      <formula>100</formula>
    </cfRule>
  </conditionalFormatting>
  <conditionalFormatting sqref="D48:D49">
    <cfRule type="cellIs" dxfId="119" priority="79" stopIfTrue="1" operator="between">
      <formula>0</formula>
      <formula>79.9</formula>
    </cfRule>
    <cfRule type="cellIs" dxfId="118" priority="80" stopIfTrue="1" operator="between">
      <formula>80</formula>
      <formula>97.9</formula>
    </cfRule>
    <cfRule type="cellIs" dxfId="117" priority="81" stopIfTrue="1" operator="between">
      <formula>98</formula>
      <formula>100</formula>
    </cfRule>
  </conditionalFormatting>
  <conditionalFormatting sqref="D43">
    <cfRule type="cellIs" dxfId="116" priority="76" stopIfTrue="1" operator="between">
      <formula>0</formula>
      <formula>79.9</formula>
    </cfRule>
    <cfRule type="cellIs" dxfId="115" priority="77" stopIfTrue="1" operator="between">
      <formula>80</formula>
      <formula>97.9</formula>
    </cfRule>
    <cfRule type="cellIs" dxfId="114" priority="78" stopIfTrue="1" operator="between">
      <formula>98</formula>
      <formula>100</formula>
    </cfRule>
  </conditionalFormatting>
  <conditionalFormatting sqref="D41">
    <cfRule type="cellIs" dxfId="113" priority="73" stopIfTrue="1" operator="between">
      <formula>0</formula>
      <formula>79.9</formula>
    </cfRule>
    <cfRule type="cellIs" dxfId="112" priority="74" stopIfTrue="1" operator="between">
      <formula>80</formula>
      <formula>97.9</formula>
    </cfRule>
    <cfRule type="cellIs" dxfId="111" priority="75" stopIfTrue="1" operator="between">
      <formula>98</formula>
      <formula>100</formula>
    </cfRule>
  </conditionalFormatting>
  <conditionalFormatting sqref="D39">
    <cfRule type="cellIs" dxfId="110" priority="70" stopIfTrue="1" operator="between">
      <formula>0</formula>
      <formula>79.9</formula>
    </cfRule>
    <cfRule type="cellIs" dxfId="109" priority="71" stopIfTrue="1" operator="between">
      <formula>80</formula>
      <formula>97.9</formula>
    </cfRule>
    <cfRule type="cellIs" dxfId="108" priority="72" stopIfTrue="1" operator="between">
      <formula>98</formula>
      <formula>100</formula>
    </cfRule>
  </conditionalFormatting>
  <conditionalFormatting sqref="D40">
    <cfRule type="cellIs" dxfId="107" priority="67" stopIfTrue="1" operator="between">
      <formula>0</formula>
      <formula>79.9</formula>
    </cfRule>
    <cfRule type="cellIs" dxfId="106" priority="68" stopIfTrue="1" operator="between">
      <formula>80</formula>
      <formula>97.9</formula>
    </cfRule>
    <cfRule type="cellIs" dxfId="105" priority="69" stopIfTrue="1" operator="between">
      <formula>98</formula>
      <formula>100</formula>
    </cfRule>
  </conditionalFormatting>
  <conditionalFormatting sqref="D44:D45">
    <cfRule type="cellIs" dxfId="104" priority="64" stopIfTrue="1" operator="between">
      <formula>0</formula>
      <formula>79.9</formula>
    </cfRule>
    <cfRule type="cellIs" dxfId="103" priority="65" stopIfTrue="1" operator="between">
      <formula>80</formula>
      <formula>97.9</formula>
    </cfRule>
    <cfRule type="cellIs" dxfId="102" priority="66" stopIfTrue="1" operator="between">
      <formula>98</formula>
      <formula>100</formula>
    </cfRule>
  </conditionalFormatting>
  <conditionalFormatting sqref="D71">
    <cfRule type="cellIs" dxfId="101" priority="40" stopIfTrue="1" operator="between">
      <formula>0</formula>
      <formula>79.9</formula>
    </cfRule>
    <cfRule type="cellIs" dxfId="100" priority="41" stopIfTrue="1" operator="between">
      <formula>80</formula>
      <formula>97.9</formula>
    </cfRule>
    <cfRule type="cellIs" dxfId="99" priority="42" stopIfTrue="1" operator="between">
      <formula>98</formula>
      <formula>100</formula>
    </cfRule>
  </conditionalFormatting>
  <conditionalFormatting sqref="D72:D73">
    <cfRule type="cellIs" dxfId="98" priority="58" stopIfTrue="1" operator="between">
      <formula>0</formula>
      <formula>79.9</formula>
    </cfRule>
    <cfRule type="cellIs" dxfId="97" priority="59" stopIfTrue="1" operator="between">
      <formula>80</formula>
      <formula>97.9</formula>
    </cfRule>
    <cfRule type="cellIs" dxfId="96" priority="60" stopIfTrue="1" operator="between">
      <formula>98</formula>
      <formula>100</formula>
    </cfRule>
  </conditionalFormatting>
  <conditionalFormatting sqref="D67">
    <cfRule type="cellIs" dxfId="95" priority="55" stopIfTrue="1" operator="between">
      <formula>0</formula>
      <formula>79.9</formula>
    </cfRule>
    <cfRule type="cellIs" dxfId="94" priority="56" stopIfTrue="1" operator="between">
      <formula>80</formula>
      <formula>97.9</formula>
    </cfRule>
    <cfRule type="cellIs" dxfId="93" priority="57" stopIfTrue="1" operator="between">
      <formula>98</formula>
      <formula>100</formula>
    </cfRule>
  </conditionalFormatting>
  <conditionalFormatting sqref="D65">
    <cfRule type="cellIs" dxfId="92" priority="52" stopIfTrue="1" operator="between">
      <formula>0</formula>
      <formula>79.9</formula>
    </cfRule>
    <cfRule type="cellIs" dxfId="91" priority="53" stopIfTrue="1" operator="between">
      <formula>80</formula>
      <formula>97.9</formula>
    </cfRule>
    <cfRule type="cellIs" dxfId="90" priority="54" stopIfTrue="1" operator="between">
      <formula>98</formula>
      <formula>100</formula>
    </cfRule>
  </conditionalFormatting>
  <conditionalFormatting sqref="D63">
    <cfRule type="cellIs" dxfId="89" priority="49" stopIfTrue="1" operator="between">
      <formula>0</formula>
      <formula>79.9</formula>
    </cfRule>
    <cfRule type="cellIs" dxfId="88" priority="50" stopIfTrue="1" operator="between">
      <formula>80</formula>
      <formula>97.9</formula>
    </cfRule>
    <cfRule type="cellIs" dxfId="87" priority="51" stopIfTrue="1" operator="between">
      <formula>98</formula>
      <formula>100</formula>
    </cfRule>
  </conditionalFormatting>
  <conditionalFormatting sqref="D64">
    <cfRule type="cellIs" dxfId="86" priority="46" stopIfTrue="1" operator="between">
      <formula>0</formula>
      <formula>79.9</formula>
    </cfRule>
    <cfRule type="cellIs" dxfId="85" priority="47" stopIfTrue="1" operator="between">
      <formula>80</formula>
      <formula>97.9</formula>
    </cfRule>
    <cfRule type="cellIs" dxfId="84" priority="48" stopIfTrue="1" operator="between">
      <formula>98</formula>
      <formula>100</formula>
    </cfRule>
  </conditionalFormatting>
  <conditionalFormatting sqref="D68:D69">
    <cfRule type="cellIs" dxfId="83" priority="43" stopIfTrue="1" operator="between">
      <formula>0</formula>
      <formula>79.9</formula>
    </cfRule>
    <cfRule type="cellIs" dxfId="82" priority="44" stopIfTrue="1" operator="between">
      <formula>80</formula>
      <formula>97.9</formula>
    </cfRule>
    <cfRule type="cellIs" dxfId="81" priority="45" stopIfTrue="1" operator="between">
      <formula>98</formula>
      <formula>100</formula>
    </cfRule>
  </conditionalFormatting>
  <conditionalFormatting sqref="D88:D89">
    <cfRule type="cellIs" dxfId="80" priority="37" stopIfTrue="1" operator="between">
      <formula>0</formula>
      <formula>79.9</formula>
    </cfRule>
    <cfRule type="cellIs" dxfId="79" priority="38" stopIfTrue="1" operator="between">
      <formula>80</formula>
      <formula>97.9</formula>
    </cfRule>
    <cfRule type="cellIs" dxfId="78" priority="39" stopIfTrue="1" operator="between">
      <formula>98</formula>
      <formula>100</formula>
    </cfRule>
  </conditionalFormatting>
  <conditionalFormatting sqref="D87">
    <cfRule type="cellIs" dxfId="77" priority="28" stopIfTrue="1" operator="between">
      <formula>0</formula>
      <formula>79.9</formula>
    </cfRule>
    <cfRule type="cellIs" dxfId="76" priority="29" stopIfTrue="1" operator="between">
      <formula>80</formula>
      <formula>97.9</formula>
    </cfRule>
    <cfRule type="cellIs" dxfId="75" priority="30" stopIfTrue="1" operator="between">
      <formula>98</formula>
      <formula>100</formula>
    </cfRule>
  </conditionalFormatting>
  <conditionalFormatting sqref="D97">
    <cfRule type="cellIs" dxfId="74" priority="25" stopIfTrue="1" operator="between">
      <formula>0</formula>
      <formula>79.9</formula>
    </cfRule>
    <cfRule type="cellIs" dxfId="73" priority="26" stopIfTrue="1" operator="between">
      <formula>80</formula>
      <formula>97.9</formula>
    </cfRule>
    <cfRule type="cellIs" dxfId="72" priority="27" stopIfTrue="1" operator="between">
      <formula>98</formula>
      <formula>100</formula>
    </cfRule>
  </conditionalFormatting>
  <conditionalFormatting sqref="D114:D116 D118:D119">
    <cfRule type="cellIs" dxfId="71" priority="22" stopIfTrue="1" operator="between">
      <formula>0</formula>
      <formula>79.9</formula>
    </cfRule>
    <cfRule type="cellIs" dxfId="70" priority="23" stopIfTrue="1" operator="between">
      <formula>80</formula>
      <formula>97.9</formula>
    </cfRule>
    <cfRule type="cellIs" dxfId="69" priority="24" stopIfTrue="1" operator="between">
      <formula>98</formula>
      <formula>100</formula>
    </cfRule>
  </conditionalFormatting>
  <conditionalFormatting sqref="D112:D113">
    <cfRule type="cellIs" dxfId="68" priority="19" stopIfTrue="1" operator="between">
      <formula>0</formula>
      <formula>79.9</formula>
    </cfRule>
    <cfRule type="cellIs" dxfId="67" priority="20" stopIfTrue="1" operator="between">
      <formula>80</formula>
      <formula>97.9</formula>
    </cfRule>
    <cfRule type="cellIs" dxfId="66" priority="21" stopIfTrue="1" operator="between">
      <formula>98</formula>
      <formula>100</formula>
    </cfRule>
  </conditionalFormatting>
  <conditionalFormatting sqref="D111">
    <cfRule type="cellIs" dxfId="65" priority="16" stopIfTrue="1" operator="between">
      <formula>0</formula>
      <formula>79.9</formula>
    </cfRule>
    <cfRule type="cellIs" dxfId="64" priority="17" stopIfTrue="1" operator="between">
      <formula>80</formula>
      <formula>97.9</formula>
    </cfRule>
    <cfRule type="cellIs" dxfId="63" priority="18" stopIfTrue="1" operator="between">
      <formula>98</formula>
      <formula>100</formula>
    </cfRule>
  </conditionalFormatting>
  <conditionalFormatting sqref="D121">
    <cfRule type="cellIs" dxfId="62" priority="13" stopIfTrue="1" operator="between">
      <formula>0</formula>
      <formula>79.9</formula>
    </cfRule>
    <cfRule type="cellIs" dxfId="61" priority="14" stopIfTrue="1" operator="between">
      <formula>80</formula>
      <formula>97.9</formula>
    </cfRule>
    <cfRule type="cellIs" dxfId="60" priority="15" stopIfTrue="1" operator="between">
      <formula>98</formula>
      <formula>100</formula>
    </cfRule>
  </conditionalFormatting>
  <conditionalFormatting sqref="D138:D140 D142:D143">
    <cfRule type="cellIs" dxfId="59" priority="10" stopIfTrue="1" operator="between">
      <formula>0</formula>
      <formula>79.9</formula>
    </cfRule>
    <cfRule type="cellIs" dxfId="58" priority="11" stopIfTrue="1" operator="between">
      <formula>80</formula>
      <formula>97.9</formula>
    </cfRule>
    <cfRule type="cellIs" dxfId="57" priority="12" stopIfTrue="1" operator="between">
      <formula>98</formula>
      <formula>100</formula>
    </cfRule>
  </conditionalFormatting>
  <conditionalFormatting sqref="D136:D137">
    <cfRule type="cellIs" dxfId="56" priority="7" stopIfTrue="1" operator="between">
      <formula>0</formula>
      <formula>79.9</formula>
    </cfRule>
    <cfRule type="cellIs" dxfId="55" priority="8" stopIfTrue="1" operator="between">
      <formula>80</formula>
      <formula>97.9</formula>
    </cfRule>
    <cfRule type="cellIs" dxfId="54" priority="9" stopIfTrue="1" operator="between">
      <formula>98</formula>
      <formula>100</formula>
    </cfRule>
  </conditionalFormatting>
  <conditionalFormatting sqref="D135">
    <cfRule type="cellIs" dxfId="53" priority="4" stopIfTrue="1" operator="between">
      <formula>0</formula>
      <formula>79.9</formula>
    </cfRule>
    <cfRule type="cellIs" dxfId="52" priority="5" stopIfTrue="1" operator="between">
      <formula>80</formula>
      <formula>97.9</formula>
    </cfRule>
    <cfRule type="cellIs" dxfId="51" priority="6" stopIfTrue="1" operator="between">
      <formula>98</formula>
      <formula>100</formula>
    </cfRule>
  </conditionalFormatting>
  <conditionalFormatting sqref="D145">
    <cfRule type="cellIs" dxfId="50" priority="1" stopIfTrue="1" operator="between">
      <formula>0</formula>
      <formula>79.9</formula>
    </cfRule>
    <cfRule type="cellIs" dxfId="49" priority="2" stopIfTrue="1" operator="between">
      <formula>80</formula>
      <formula>97.9</formula>
    </cfRule>
    <cfRule type="cellIs" dxfId="48" priority="3" stopIfTrue="1" operator="between">
      <formula>98</formula>
      <formula>100</formula>
    </cfRule>
  </conditionalFormatting>
  <pageMargins left="0.511811024" right="0.511811024" top="0.78740157499999996" bottom="0.78740157499999996" header="0.31496062000000002" footer="0.31496062000000002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1996-1997</vt:lpstr>
      <vt:lpstr>1998-1999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criteria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LOURDES DA GRACA MACORIS</dc:creator>
  <cp:lastModifiedBy>Kelly , Sarah A</cp:lastModifiedBy>
  <cp:lastPrinted>2016-10-04T11:52:06Z</cp:lastPrinted>
  <dcterms:created xsi:type="dcterms:W3CDTF">2016-08-24T14:35:36Z</dcterms:created>
  <dcterms:modified xsi:type="dcterms:W3CDTF">2018-05-29T08:48:44Z</dcterms:modified>
</cp:coreProperties>
</file>