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os\Downloads\"/>
    </mc:Choice>
  </mc:AlternateContent>
  <bookViews>
    <workbookView xWindow="0" yWindow="0" windowWidth="23040" windowHeight="9090"/>
  </bookViews>
  <sheets>
    <sheet name="Selection Guide" sheetId="1" r:id="rId1"/>
    <sheet name="Options Lists" sheetId="2" r:id="rId2"/>
    <sheet name="Basic Estimate Calculator" sheetId="3" r:id="rId3"/>
    <sheet name="Payment Calculator" sheetId="4" r:id="rId4"/>
  </sheets>
  <definedNames>
    <definedName name="Amount">#REF!</definedName>
    <definedName name="Amount_Remaining">#REF!</definedName>
    <definedName name="Amount2">#REF!</definedName>
    <definedName name="NPer">#REF!</definedName>
    <definedName name="Rate">#REF!</definedName>
    <definedName name="Remaining">#REF!</definedName>
    <definedName name="Year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/>
  <c r="F9" i="4" l="1"/>
  <c r="F3" i="4"/>
  <c r="F2" i="4"/>
  <c r="E12" i="4" l="1"/>
  <c r="F12" i="4" s="1"/>
  <c r="C3" i="3"/>
  <c r="C5" i="3"/>
  <c r="C4" i="3"/>
  <c r="E12" i="3" l="1"/>
  <c r="E22" i="3"/>
  <c r="D38" i="3"/>
  <c r="E38" i="3" s="1"/>
  <c r="D39" i="3"/>
  <c r="E39" i="3" s="1"/>
  <c r="D37" i="3"/>
  <c r="E37" i="3" s="1"/>
  <c r="D33" i="3"/>
  <c r="E33" i="3" s="1"/>
  <c r="D34" i="3"/>
  <c r="E34" i="3" s="1"/>
  <c r="D30" i="3"/>
  <c r="E30" i="3" s="1"/>
  <c r="D29" i="3"/>
  <c r="E29" i="3" s="1"/>
  <c r="D25" i="3"/>
  <c r="E25" i="3" s="1"/>
  <c r="D24" i="3"/>
  <c r="E24" i="3" s="1"/>
  <c r="D21" i="3"/>
  <c r="E21" i="3" s="1"/>
  <c r="D19" i="3"/>
  <c r="E19" i="3" s="1"/>
  <c r="D20" i="3"/>
  <c r="E20" i="3" s="1"/>
  <c r="D18" i="3"/>
  <c r="D15" i="3"/>
  <c r="E15" i="3" s="1"/>
  <c r="D14" i="3"/>
  <c r="E14" i="3" s="1"/>
  <c r="D9" i="3"/>
  <c r="E9" i="3" s="1"/>
  <c r="D11" i="3"/>
  <c r="E11" i="3" s="1"/>
  <c r="D10" i="3"/>
  <c r="E10" i="3" s="1"/>
  <c r="D6" i="3"/>
  <c r="D4" i="3"/>
  <c r="D5" i="3"/>
  <c r="D47" i="3" s="1"/>
  <c r="E47" i="3" s="1"/>
  <c r="D3" i="3"/>
  <c r="E3" i="3" s="1"/>
  <c r="C18" i="3"/>
  <c r="E18" i="3" l="1"/>
  <c r="D49" i="3"/>
  <c r="E49" i="3" s="1"/>
  <c r="D45" i="3"/>
  <c r="E45" i="3" s="1"/>
  <c r="D48" i="3"/>
  <c r="E48" i="3" s="1"/>
  <c r="D44" i="3"/>
  <c r="E44" i="3" s="1"/>
  <c r="E4" i="3"/>
  <c r="D43" i="3"/>
  <c r="E43" i="3" s="1"/>
  <c r="E5" i="3"/>
  <c r="C6" i="3"/>
  <c r="E6" i="3" s="1"/>
  <c r="E53" i="3" l="1"/>
  <c r="D17" i="1" s="1"/>
  <c r="E4" i="4" s="1"/>
  <c r="F4" i="4" l="1"/>
  <c r="E5" i="4"/>
  <c r="E10" i="4" l="1"/>
  <c r="F10" i="4" s="1"/>
  <c r="E11" i="4"/>
  <c r="F11" i="4" s="1"/>
  <c r="I5" i="4"/>
  <c r="F5" i="4"/>
  <c r="F7" i="4" s="1"/>
  <c r="F14" i="4" l="1"/>
  <c r="F16" i="4" s="1"/>
  <c r="E18" i="4" s="1"/>
  <c r="F18" i="4" s="1"/>
  <c r="E19" i="4" l="1"/>
  <c r="F19" i="4" s="1"/>
  <c r="E20" i="4" s="1"/>
  <c r="F20" i="4" s="1"/>
  <c r="F22" i="4" s="1"/>
  <c r="C27" i="4"/>
  <c r="F24" i="4" s="1"/>
  <c r="I7" i="4" s="1"/>
  <c r="D20" i="1" s="1"/>
  <c r="K2" i="4" l="1"/>
</calcChain>
</file>

<file path=xl/sharedStrings.xml><?xml version="1.0" encoding="utf-8"?>
<sst xmlns="http://schemas.openxmlformats.org/spreadsheetml/2006/main" count="195" uniqueCount="123">
  <si>
    <t>Number of Rooms</t>
  </si>
  <si>
    <t>Water System</t>
  </si>
  <si>
    <t>Plumbing, Well, and Solar Pump</t>
  </si>
  <si>
    <t>Add On Option</t>
  </si>
  <si>
    <t>Perimeter and Gate</t>
  </si>
  <si>
    <t>Selection</t>
  </si>
  <si>
    <t>None</t>
  </si>
  <si>
    <t>Rainwater Collection System</t>
  </si>
  <si>
    <t>No Water System</t>
  </si>
  <si>
    <t>Electricity</t>
  </si>
  <si>
    <t>200-300W Solar Panel System</t>
  </si>
  <si>
    <t>600W Solar Panel System</t>
  </si>
  <si>
    <t>Bathroom</t>
  </si>
  <si>
    <t>Toilet, Sink, Shower, and Septic Tank</t>
  </si>
  <si>
    <t>Outdoor Latrine</t>
  </si>
  <si>
    <t>SOIL Haiti Composting Toilet</t>
  </si>
  <si>
    <t>Framing and Plumbing (No Fixtures or Tank)</t>
  </si>
  <si>
    <t>Kitchen</t>
  </si>
  <si>
    <t>Full Kitchen</t>
  </si>
  <si>
    <t>Kitchenette</t>
  </si>
  <si>
    <t>Basic Hookup (2" pipe for future installment)</t>
  </si>
  <si>
    <t>Exterior Doors</t>
  </si>
  <si>
    <t>Add On Options</t>
  </si>
  <si>
    <t>Quantity</t>
  </si>
  <si>
    <t>Dual-Sheet Metal Door</t>
  </si>
  <si>
    <t>Simple Metal Door</t>
  </si>
  <si>
    <t>Quantity Options</t>
  </si>
  <si>
    <t>Interior Doors</t>
  </si>
  <si>
    <t>Windows</t>
  </si>
  <si>
    <t>Floor</t>
  </si>
  <si>
    <t>Paint</t>
  </si>
  <si>
    <t>Category</t>
  </si>
  <si>
    <t>All windows come with security bars</t>
  </si>
  <si>
    <t>All homes will be painted</t>
  </si>
  <si>
    <t>Handmade Wooden Door</t>
  </si>
  <si>
    <t>Simple Wooden Door</t>
  </si>
  <si>
    <t>Sliding Glass Pane</t>
  </si>
  <si>
    <t xml:space="preserve">Jalousie </t>
  </si>
  <si>
    <t>Open</t>
  </si>
  <si>
    <t>Terrazzo</t>
  </si>
  <si>
    <t>Tile</t>
  </si>
  <si>
    <t>Concrete Slab</t>
  </si>
  <si>
    <t>Color 1</t>
  </si>
  <si>
    <t>Color 2</t>
  </si>
  <si>
    <t>Color 3</t>
  </si>
  <si>
    <t>Main Selection Options</t>
  </si>
  <si>
    <t>4 Rooms</t>
  </si>
  <si>
    <t>3 Rooms</t>
  </si>
  <si>
    <t>2 Rooms</t>
  </si>
  <si>
    <t>Home Size</t>
  </si>
  <si>
    <t>All homes come with basic electricity and breaker box</t>
  </si>
  <si>
    <t xml:space="preserve">Information </t>
  </si>
  <si>
    <t>Cost</t>
  </si>
  <si>
    <t>2 Room</t>
  </si>
  <si>
    <t>3 Room</t>
  </si>
  <si>
    <t>4 Room</t>
  </si>
  <si>
    <t>Electric</t>
  </si>
  <si>
    <t>Base House</t>
  </si>
  <si>
    <t>Item</t>
  </si>
  <si>
    <t>TOTAL CONSTRUCTION COST</t>
  </si>
  <si>
    <t>NOTES:</t>
  </si>
  <si>
    <t xml:space="preserve">Gate: "1500 for a big nice one"     Wall: 16mx18m @ $185/m </t>
  </si>
  <si>
    <t>&lt;- can't be right, talk to Paul</t>
  </si>
  <si>
    <t>Need a cheap gate option too</t>
  </si>
  <si>
    <t>$100 just for security bars (non-negotiable)</t>
  </si>
  <si>
    <t>$150 per window + $100 for security bars</t>
  </si>
  <si>
    <t>$350 per window + $100 for security bars</t>
  </si>
  <si>
    <t>$60.00 per m2</t>
  </si>
  <si>
    <t>$30.00 per m2</t>
  </si>
  <si>
    <t>1000 for well and solar pump</t>
  </si>
  <si>
    <t>150 to connect to grid</t>
  </si>
  <si>
    <t>Windows seem high compared to Dustin's estimate</t>
  </si>
  <si>
    <t>Completely random guess</t>
  </si>
  <si>
    <t xml:space="preserve"> =(18+10.5+6+42)*1.05 (Plumbing - fixtures)</t>
  </si>
  <si>
    <t>Only Plumbing</t>
  </si>
  <si>
    <t>All notes below this point are referenced from Dustin's E2E Model_3A Estimate</t>
  </si>
  <si>
    <t xml:space="preserve"> =(185+100+250+1500)*1.05 (toilet+sink+shower+septic)+400 for labor ---- 250 at most for a good shower</t>
  </si>
  <si>
    <t>Assumes half of plumbing cost from Dustin's estimate is for toilet + 20 for labor</t>
  </si>
  <si>
    <t>Cost included</t>
  </si>
  <si>
    <t>Unit Cost (USD)</t>
  </si>
  <si>
    <t>what about just a rooftank?</t>
  </si>
  <si>
    <t xml:space="preserve">Taken from Dustin's Feb 2017 Estimation Summary (Without bathroom)*1.07 contingency/increase since feb17 - cost of windows and doors </t>
  </si>
  <si>
    <t>Does this # include labor?</t>
  </si>
  <si>
    <t>doors and windows estimate includes $440 labor cost from Dustin's estimate (labor not subtracted from his estimate)</t>
  </si>
  <si>
    <t xml:space="preserve">TOTAL CONSTRUCTION COST: 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</si>
  <si>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
The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red text</t>
    </r>
    <r>
      <rPr>
        <sz val="11"/>
        <color theme="1"/>
        <rFont val="Calibri"/>
        <family val="2"/>
        <scheme val="minor"/>
      </rPr>
      <t xml:space="preserve"> is input. 
Click on those cells, then click the arrow that appears to see the drop-down menu. 
Pick an option from the menu. 
The </t>
    </r>
    <r>
      <rPr>
        <b/>
        <sz val="11"/>
        <color theme="1"/>
        <rFont val="Calibri"/>
        <family val="2"/>
        <scheme val="minor"/>
      </rPr>
      <t>Selection</t>
    </r>
    <r>
      <rPr>
        <sz val="11"/>
        <color theme="1"/>
        <rFont val="Calibri"/>
        <family val="2"/>
        <scheme val="minor"/>
      </rPr>
      <t xml:space="preserve"> column is the main choice for the category.
The </t>
    </r>
    <r>
      <rPr>
        <b/>
        <sz val="11"/>
        <color theme="1"/>
        <rFont val="Calibri"/>
        <family val="2"/>
        <scheme val="minor"/>
      </rPr>
      <t>Add On</t>
    </r>
    <r>
      <rPr>
        <sz val="11"/>
        <color theme="1"/>
        <rFont val="Calibri"/>
        <family val="2"/>
        <scheme val="minor"/>
      </rPr>
      <t xml:space="preserve"> Option column is the additional things they can add. 
The </t>
    </r>
    <r>
      <rPr>
        <b/>
        <sz val="11"/>
        <color theme="1"/>
        <rFont val="Calibri"/>
        <family val="2"/>
        <scheme val="minor"/>
      </rPr>
      <t>Quantity</t>
    </r>
    <r>
      <rPr>
        <sz val="11"/>
        <color theme="1"/>
        <rFont val="Calibri"/>
        <family val="2"/>
        <scheme val="minor"/>
      </rPr>
      <t xml:space="preserve"> column is the amount of the Selection item that they want. 
Cells that are filled in with </t>
    </r>
    <r>
      <rPr>
        <b/>
        <sz val="11"/>
        <color theme="1" tint="0.499984740745262"/>
        <rFont val="Calibri"/>
        <family val="2"/>
        <scheme val="minor"/>
      </rPr>
      <t>grey</t>
    </r>
    <r>
      <rPr>
        <sz val="11"/>
        <color theme="1"/>
        <rFont val="Calibri"/>
        <family val="2"/>
        <scheme val="minor"/>
      </rPr>
      <t xml:space="preserve"> are not needed. </t>
    </r>
  </si>
  <si>
    <t>USD</t>
  </si>
  <si>
    <t>See Google Drive - Housing Project -&gt; Housing Plans -&gt; ESTIMATES -&gt; Estimate Summary.xlsx</t>
  </si>
  <si>
    <t>Full breakdown also in the ESTIMATES folder</t>
  </si>
  <si>
    <t>No up front fee, costs $7 per month to rent it (which includes servicing) - but not currently available in leogane. Talk to Paul about alternatives</t>
  </si>
  <si>
    <t>Land Value</t>
  </si>
  <si>
    <t>Centieme</t>
  </si>
  <si>
    <t>Down Payment</t>
  </si>
  <si>
    <t>Minimum Down payment</t>
  </si>
  <si>
    <t>Term (years)</t>
  </si>
  <si>
    <t>Construction Cost</t>
  </si>
  <si>
    <t>Quote</t>
  </si>
  <si>
    <t>Contingency</t>
  </si>
  <si>
    <t>Hard Cost Subtotal</t>
  </si>
  <si>
    <t>TOTAL MONTHLY PAYMENT</t>
  </si>
  <si>
    <t>Appraisal and Survey</t>
  </si>
  <si>
    <t>LS</t>
  </si>
  <si>
    <t>Permit</t>
  </si>
  <si>
    <t>Notary</t>
  </si>
  <si>
    <t>Soft Cost Subtotal</t>
  </si>
  <si>
    <t>Subtotal Development Cost</t>
  </si>
  <si>
    <t>Legal</t>
  </si>
  <si>
    <t>Development Cost</t>
  </si>
  <si>
    <t>Loan Value</t>
  </si>
  <si>
    <t>Total Project</t>
  </si>
  <si>
    <t>Total Project Cost</t>
  </si>
  <si>
    <t>Monthly Payment to Bank</t>
  </si>
  <si>
    <t>Debt Interest Rate</t>
  </si>
  <si>
    <t>Minimum Down Payment</t>
  </si>
  <si>
    <t>Loan Amount</t>
  </si>
  <si>
    <t>Years</t>
  </si>
  <si>
    <t>Design/Testing/Adminstration</t>
  </si>
  <si>
    <t>Financing/Disbursement</t>
  </si>
  <si>
    <t>Taxes on Sale</t>
  </si>
  <si>
    <t xml:space="preserve">USD </t>
  </si>
  <si>
    <t>TOTAL MONTHLY PAYMENT:</t>
  </si>
  <si>
    <t xml:space="preserve">LOAN LENGTH: </t>
  </si>
  <si>
    <t>DOWNPAYMENT: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</si>
</sst>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2" fillId="0" borderId="2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0" fillId="2" borderId="13" xfId="0" applyFill="1" applyBorder="1"/>
    <xf numFmtId="0" fontId="0" fillId="2" borderId="13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4" xfId="0" applyFill="1" applyBorder="1"/>
    <xf numFmtId="0" fontId="0" fillId="0" borderId="15" xfId="0" applyBorder="1"/>
    <xf numFmtId="0" fontId="0" fillId="0" borderId="0" xfId="0" applyBorder="1" applyAlignment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/>
    <xf numFmtId="0" fontId="0" fillId="4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0" fillId="3" borderId="0" xfId="1" applyFont="1" applyFill="1" applyBorder="1"/>
    <xf numFmtId="44" fontId="0" fillId="0" borderId="0" xfId="1" applyFont="1" applyBorder="1"/>
    <xf numFmtId="44" fontId="0" fillId="4" borderId="0" xfId="1" applyFont="1" applyFill="1" applyBorder="1"/>
    <xf numFmtId="44" fontId="2" fillId="3" borderId="0" xfId="1" applyFont="1" applyFill="1" applyBorder="1"/>
    <xf numFmtId="44" fontId="0" fillId="0" borderId="0" xfId="1" applyFont="1" applyFill="1" applyBorder="1"/>
    <xf numFmtId="44" fontId="0" fillId="0" borderId="0" xfId="0" applyNumberFormat="1" applyBorder="1"/>
    <xf numFmtId="44" fontId="0" fillId="0" borderId="0" xfId="1" applyFont="1" applyBorder="1" applyAlignment="1"/>
    <xf numFmtId="44" fontId="0" fillId="0" borderId="18" xfId="1" applyFont="1" applyBorder="1"/>
    <xf numFmtId="0" fontId="5" fillId="0" borderId="16" xfId="0" applyFont="1" applyFill="1" applyBorder="1" applyAlignment="1">
      <alignment horizontal="right"/>
    </xf>
    <xf numFmtId="0" fontId="2" fillId="0" borderId="18" xfId="0" applyFont="1" applyBorder="1"/>
    <xf numFmtId="44" fontId="5" fillId="0" borderId="17" xfId="0" applyNumberFormat="1" applyFont="1" applyBorder="1"/>
    <xf numFmtId="164" fontId="0" fillId="0" borderId="0" xfId="1" applyNumberFormat="1" applyFont="1"/>
    <xf numFmtId="0" fontId="0" fillId="0" borderId="19" xfId="0" applyBorder="1"/>
    <xf numFmtId="0" fontId="0" fillId="4" borderId="20" xfId="0" applyFill="1" applyBorder="1"/>
    <xf numFmtId="0" fontId="0" fillId="0" borderId="20" xfId="0" applyBorder="1"/>
    <xf numFmtId="164" fontId="0" fillId="4" borderId="20" xfId="1" applyNumberFormat="1" applyFont="1" applyFill="1" applyBorder="1"/>
    <xf numFmtId="164" fontId="0" fillId="0" borderId="21" xfId="1" applyNumberFormat="1" applyFont="1" applyBorder="1"/>
    <xf numFmtId="164" fontId="0" fillId="0" borderId="20" xfId="1" applyNumberFormat="1" applyFont="1" applyFill="1" applyBorder="1"/>
    <xf numFmtId="165" fontId="7" fillId="0" borderId="20" xfId="0" applyNumberFormat="1" applyFont="1" applyBorder="1"/>
    <xf numFmtId="164" fontId="7" fillId="0" borderId="21" xfId="0" applyNumberFormat="1" applyFont="1" applyBorder="1"/>
    <xf numFmtId="0" fontId="0" fillId="0" borderId="22" xfId="0" applyBorder="1"/>
    <xf numFmtId="0" fontId="0" fillId="0" borderId="11" xfId="0" applyBorder="1"/>
    <xf numFmtId="164" fontId="0" fillId="0" borderId="11" xfId="1" applyNumberFormat="1" applyFont="1" applyBorder="1"/>
    <xf numFmtId="164" fontId="0" fillId="0" borderId="23" xfId="1" applyNumberFormat="1" applyFont="1" applyBorder="1"/>
    <xf numFmtId="0" fontId="0" fillId="4" borderId="11" xfId="0" applyFill="1" applyBorder="1"/>
    <xf numFmtId="0" fontId="7" fillId="0" borderId="11" xfId="0" applyFont="1" applyBorder="1"/>
    <xf numFmtId="0" fontId="0" fillId="0" borderId="23" xfId="0" applyBorder="1"/>
    <xf numFmtId="164" fontId="0" fillId="4" borderId="11" xfId="1" applyNumberFormat="1" applyFont="1" applyFill="1" applyBorder="1"/>
    <xf numFmtId="9" fontId="0" fillId="0" borderId="11" xfId="2" applyFont="1" applyBorder="1"/>
    <xf numFmtId="164" fontId="0" fillId="0" borderId="11" xfId="1" applyNumberFormat="1" applyFont="1" applyFill="1" applyBorder="1"/>
    <xf numFmtId="164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9" fontId="0" fillId="0" borderId="11" xfId="0" applyNumberFormat="1" applyBorder="1"/>
    <xf numFmtId="9" fontId="0" fillId="0" borderId="11" xfId="2" applyNumberFormat="1" applyFont="1" applyBorder="1"/>
    <xf numFmtId="164" fontId="0" fillId="0" borderId="0" xfId="0" applyNumberFormat="1"/>
    <xf numFmtId="166" fontId="0" fillId="0" borderId="11" xfId="0" applyNumberFormat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164" fontId="0" fillId="0" borderId="0" xfId="1" applyNumberFormat="1" applyFont="1" applyAlignment="1">
      <alignment horizontal="right"/>
    </xf>
    <xf numFmtId="9" fontId="0" fillId="4" borderId="0" xfId="0" applyNumberFormat="1" applyFill="1" applyBorder="1"/>
    <xf numFmtId="9" fontId="0" fillId="4" borderId="0" xfId="2" applyFont="1" applyFill="1" applyBorder="1"/>
    <xf numFmtId="44" fontId="0" fillId="0" borderId="0" xfId="0" applyNumberFormat="1" applyFill="1" applyBorder="1" applyAlignment="1">
      <alignment horizontal="right" vertical="center"/>
    </xf>
    <xf numFmtId="0" fontId="2" fillId="0" borderId="0" xfId="0" applyFont="1"/>
    <xf numFmtId="9" fontId="0" fillId="0" borderId="0" xfId="2" applyFont="1" applyFill="1" applyBorder="1"/>
    <xf numFmtId="164" fontId="0" fillId="0" borderId="11" xfId="0" applyNumberFormat="1" applyBorder="1"/>
    <xf numFmtId="0" fontId="2" fillId="0" borderId="27" xfId="0" applyFont="1" applyFill="1" applyBorder="1" applyAlignment="1">
      <alignment horizontal="center"/>
    </xf>
    <xf numFmtId="0" fontId="0" fillId="4" borderId="5" xfId="0" applyFill="1" applyBorder="1"/>
    <xf numFmtId="0" fontId="0" fillId="0" borderId="5" xfId="0" applyFill="1" applyBorder="1"/>
    <xf numFmtId="0" fontId="0" fillId="0" borderId="5" xfId="0" applyNumberFormat="1" applyBorder="1"/>
    <xf numFmtId="0" fontId="5" fillId="0" borderId="0" xfId="0" applyFont="1" applyFill="1" applyBorder="1" applyAlignment="1">
      <alignment horizontal="right"/>
    </xf>
    <xf numFmtId="44" fontId="2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zoomScaleNormal="100" workbookViewId="0">
      <selection activeCell="B25" sqref="B25"/>
    </sheetView>
  </sheetViews>
  <sheetFormatPr defaultRowHeight="15" x14ac:dyDescent="0.25"/>
  <cols>
    <col min="1" max="1" width="2" customWidth="1"/>
    <col min="2" max="2" width="19.42578125" customWidth="1"/>
    <col min="3" max="3" width="40.7109375" customWidth="1"/>
    <col min="4" max="4" width="27" customWidth="1"/>
    <col min="5" max="5" width="11.42578125" customWidth="1"/>
    <col min="6" max="6" width="50.42578125" customWidth="1"/>
  </cols>
  <sheetData>
    <row r="2" spans="2:6" x14ac:dyDescent="0.25">
      <c r="D2" s="90" t="s">
        <v>85</v>
      </c>
      <c r="E2" s="90"/>
      <c r="F2" s="90"/>
    </row>
    <row r="3" spans="2:6" ht="104.25" customHeight="1" x14ac:dyDescent="0.25">
      <c r="D3" s="90"/>
      <c r="E3" s="90"/>
      <c r="F3" s="90"/>
    </row>
    <row r="4" spans="2:6" ht="17.25" customHeight="1" x14ac:dyDescent="0.25"/>
    <row r="5" spans="2:6" x14ac:dyDescent="0.25">
      <c r="B5" s="11" t="s">
        <v>31</v>
      </c>
      <c r="C5" s="14" t="s">
        <v>5</v>
      </c>
      <c r="D5" s="12" t="s">
        <v>3</v>
      </c>
      <c r="E5" s="14" t="s">
        <v>23</v>
      </c>
      <c r="F5" s="13" t="s">
        <v>51</v>
      </c>
    </row>
    <row r="6" spans="2:6" x14ac:dyDescent="0.25">
      <c r="B6" s="15" t="s">
        <v>49</v>
      </c>
      <c r="C6" s="17" t="s">
        <v>48</v>
      </c>
      <c r="D6" s="19" t="s">
        <v>6</v>
      </c>
      <c r="E6" s="21"/>
      <c r="F6" s="4"/>
    </row>
    <row r="7" spans="2:6" x14ac:dyDescent="0.25">
      <c r="B7" s="15" t="s">
        <v>1</v>
      </c>
      <c r="C7" s="17" t="s">
        <v>2</v>
      </c>
      <c r="D7" s="19" t="s">
        <v>6</v>
      </c>
      <c r="E7" s="21"/>
      <c r="F7" s="4"/>
    </row>
    <row r="8" spans="2:6" x14ac:dyDescent="0.25">
      <c r="B8" s="15" t="s">
        <v>9</v>
      </c>
      <c r="C8" s="20"/>
      <c r="D8" s="19" t="s">
        <v>6</v>
      </c>
      <c r="E8" s="21"/>
      <c r="F8" s="4" t="s">
        <v>50</v>
      </c>
    </row>
    <row r="9" spans="2:6" x14ac:dyDescent="0.25">
      <c r="B9" s="15" t="s">
        <v>12</v>
      </c>
      <c r="C9" s="17" t="s">
        <v>13</v>
      </c>
      <c r="D9" s="19" t="s">
        <v>6</v>
      </c>
      <c r="E9" s="21"/>
      <c r="F9" s="4"/>
    </row>
    <row r="10" spans="2:6" x14ac:dyDescent="0.25">
      <c r="B10" s="15" t="s">
        <v>17</v>
      </c>
      <c r="C10" s="17" t="s">
        <v>20</v>
      </c>
      <c r="D10" s="22"/>
      <c r="E10" s="20"/>
      <c r="F10" s="4"/>
    </row>
    <row r="11" spans="2:6" x14ac:dyDescent="0.25">
      <c r="B11" s="15" t="s">
        <v>21</v>
      </c>
      <c r="C11" s="17" t="s">
        <v>25</v>
      </c>
      <c r="D11" s="22"/>
      <c r="E11" s="17">
        <v>2</v>
      </c>
      <c r="F11" s="4"/>
    </row>
    <row r="12" spans="2:6" x14ac:dyDescent="0.25">
      <c r="B12" s="15" t="s">
        <v>27</v>
      </c>
      <c r="C12" s="17" t="s">
        <v>35</v>
      </c>
      <c r="D12" s="22"/>
      <c r="E12" s="17">
        <v>3</v>
      </c>
      <c r="F12" s="4"/>
    </row>
    <row r="13" spans="2:6" x14ac:dyDescent="0.25">
      <c r="B13" s="15" t="s">
        <v>28</v>
      </c>
      <c r="C13" s="17" t="s">
        <v>37</v>
      </c>
      <c r="D13" s="22"/>
      <c r="E13" s="17">
        <v>8</v>
      </c>
      <c r="F13" s="4" t="s">
        <v>32</v>
      </c>
    </row>
    <row r="14" spans="2:6" x14ac:dyDescent="0.25">
      <c r="B14" s="15" t="s">
        <v>29</v>
      </c>
      <c r="C14" s="17" t="s">
        <v>41</v>
      </c>
      <c r="D14" s="22"/>
      <c r="E14" s="20"/>
      <c r="F14" s="4"/>
    </row>
    <row r="15" spans="2:6" x14ac:dyDescent="0.25">
      <c r="B15" s="16" t="s">
        <v>30</v>
      </c>
      <c r="C15" s="18" t="s">
        <v>42</v>
      </c>
      <c r="D15" s="23"/>
      <c r="E15" s="24"/>
      <c r="F15" s="7" t="s">
        <v>33</v>
      </c>
    </row>
    <row r="16" spans="2:6" ht="15.75" thickBot="1" x14ac:dyDescent="0.3"/>
    <row r="17" spans="3:5" ht="15.75" thickBot="1" x14ac:dyDescent="0.3">
      <c r="C17" s="43" t="s">
        <v>84</v>
      </c>
      <c r="D17" s="45">
        <f>'Basic Estimate Calculator'!E53</f>
        <v>20877.57</v>
      </c>
      <c r="E17" s="44" t="s">
        <v>86</v>
      </c>
    </row>
    <row r="19" spans="3:5" x14ac:dyDescent="0.25">
      <c r="C19" s="88" t="s">
        <v>122</v>
      </c>
      <c r="D19" s="87">
        <f>'Payment Calculator'!I2</f>
        <v>3000</v>
      </c>
      <c r="E19" s="79" t="s">
        <v>119</v>
      </c>
    </row>
    <row r="20" spans="3:5" x14ac:dyDescent="0.25">
      <c r="C20" s="86" t="s">
        <v>120</v>
      </c>
      <c r="D20" s="87">
        <f>'Payment Calculator'!I7</f>
        <v>185.81196999185963</v>
      </c>
      <c r="E20" s="79" t="s">
        <v>119</v>
      </c>
    </row>
    <row r="21" spans="3:5" x14ac:dyDescent="0.25">
      <c r="C21" s="88" t="s">
        <v>121</v>
      </c>
      <c r="D21" s="79">
        <f>'Payment Calculator'!I3</f>
        <v>15</v>
      </c>
      <c r="E21" s="89" t="s">
        <v>115</v>
      </c>
    </row>
  </sheetData>
  <mergeCells count="1">
    <mergeCell ref="D2:F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'Options Lists'!$B$4:$D$4</xm:f>
          </x14:formula1>
          <xm:sqref>C6</xm:sqref>
        </x14:dataValidation>
        <x14:dataValidation type="list" allowBlank="1" showInputMessage="1" showErrorMessage="1">
          <x14:formula1>
            <xm:f>'Options Lists'!$E$4:$F$4</xm:f>
          </x14:formula1>
          <xm:sqref>D6</xm:sqref>
        </x14:dataValidation>
        <x14:dataValidation type="list" allowBlank="1" showInputMessage="1" showErrorMessage="1">
          <x14:formula1>
            <xm:f>'Options Lists'!$B$5:$D$5</xm:f>
          </x14:formula1>
          <xm:sqref>C7</xm:sqref>
        </x14:dataValidation>
        <x14:dataValidation type="list" allowBlank="1" showInputMessage="1" showErrorMessage="1">
          <x14:formula1>
            <xm:f>'Options Lists'!$E$5:$F$5</xm:f>
          </x14:formula1>
          <xm:sqref>D7</xm:sqref>
        </x14:dataValidation>
        <x14:dataValidation type="list" allowBlank="1" showInputMessage="1" showErrorMessage="1">
          <x14:formula1>
            <xm:f>'Options Lists'!$E$6:$G$6</xm:f>
          </x14:formula1>
          <xm:sqref>D8</xm:sqref>
        </x14:dataValidation>
        <x14:dataValidation type="list" allowBlank="1" showInputMessage="1" showErrorMessage="1">
          <x14:formula1>
            <xm:f>'Options Lists'!$B$7:$D$7</xm:f>
          </x14:formula1>
          <xm:sqref>C9</xm:sqref>
        </x14:dataValidation>
        <x14:dataValidation type="list" allowBlank="1" showInputMessage="1" showErrorMessage="1">
          <x14:formula1>
            <xm:f>'Options Lists'!$E$7:$F$7</xm:f>
          </x14:formula1>
          <xm:sqref>D9</xm:sqref>
        </x14:dataValidation>
        <x14:dataValidation type="list" allowBlank="1" showInputMessage="1" showErrorMessage="1">
          <x14:formula1>
            <xm:f>'Options Lists'!$B$8:$D$8</xm:f>
          </x14:formula1>
          <xm:sqref>C10</xm:sqref>
        </x14:dataValidation>
        <x14:dataValidation type="list" allowBlank="1" showInputMessage="1" showErrorMessage="1">
          <x14:formula1>
            <xm:f>'Options Lists'!$B$9:$C$9</xm:f>
          </x14:formula1>
          <xm:sqref>C11</xm:sqref>
        </x14:dataValidation>
        <x14:dataValidation type="list" allowBlank="1" showInputMessage="1" showErrorMessage="1">
          <x14:formula1>
            <xm:f>'Options Lists'!$B$10:$C$10</xm:f>
          </x14:formula1>
          <xm:sqref>C12</xm:sqref>
        </x14:dataValidation>
        <x14:dataValidation type="list" allowBlank="1" showInputMessage="1" showErrorMessage="1">
          <x14:formula1>
            <xm:f>'Options Lists'!$B$11:$D$11</xm:f>
          </x14:formula1>
          <xm:sqref>C13</xm:sqref>
        </x14:dataValidation>
        <x14:dataValidation type="list" allowBlank="1" showInputMessage="1" showErrorMessage="1">
          <x14:formula1>
            <xm:f>'Options Lists'!$B$12:$D$12</xm:f>
          </x14:formula1>
          <xm:sqref>C14</xm:sqref>
        </x14:dataValidation>
        <x14:dataValidation type="list" allowBlank="1" showInputMessage="1" showErrorMessage="1">
          <x14:formula1>
            <xm:f>'Options Lists'!$B$13:$D$13</xm:f>
          </x14:formula1>
          <xm:sqref>C15</xm:sqref>
        </x14:dataValidation>
        <x14:dataValidation type="list" allowBlank="1" showInputMessage="1" showErrorMessage="1">
          <x14:formula1>
            <xm:f>'Options Lists'!$H$9:$J$9</xm:f>
          </x14:formula1>
          <xm:sqref>E11</xm:sqref>
        </x14:dataValidation>
        <x14:dataValidation type="list" allowBlank="1" showInputMessage="1" showErrorMessage="1">
          <x14:formula1>
            <xm:f>'Options Lists'!$H$10:$K$10</xm:f>
          </x14:formula1>
          <xm:sqref>E12</xm:sqref>
        </x14:dataValidation>
        <x14:dataValidation type="list" allowBlank="1" showInputMessage="1" showErrorMessage="1">
          <x14:formula1>
            <xm:f>'Options Lists'!$H$11:$O$11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workbookViewId="0">
      <selection activeCell="C22" sqref="C22"/>
    </sheetView>
  </sheetViews>
  <sheetFormatPr defaultRowHeight="15" x14ac:dyDescent="0.25"/>
  <cols>
    <col min="1" max="1" width="19.85546875" customWidth="1"/>
    <col min="2" max="2" width="36.42578125" customWidth="1"/>
    <col min="3" max="3" width="40.140625" customWidth="1"/>
    <col min="4" max="4" width="41.42578125" customWidth="1"/>
    <col min="5" max="5" width="28.85546875" customWidth="1"/>
    <col min="6" max="6" width="27.140625" customWidth="1"/>
    <col min="8" max="8" width="4" customWidth="1"/>
    <col min="9" max="9" width="3.7109375" customWidth="1"/>
    <col min="10" max="10" width="3.85546875" customWidth="1"/>
    <col min="11" max="11" width="2.7109375" customWidth="1"/>
    <col min="12" max="12" width="3.28515625" customWidth="1"/>
    <col min="13" max="13" width="2.7109375" customWidth="1"/>
    <col min="14" max="14" width="3.28515625" customWidth="1"/>
    <col min="15" max="15" width="3.5703125" customWidth="1"/>
  </cols>
  <sheetData>
    <row r="3" spans="1:15" x14ac:dyDescent="0.25">
      <c r="A3" s="1" t="s">
        <v>31</v>
      </c>
      <c r="B3" s="91" t="s">
        <v>45</v>
      </c>
      <c r="C3" s="92"/>
      <c r="D3" s="93"/>
      <c r="E3" s="91" t="s">
        <v>22</v>
      </c>
      <c r="F3" s="92"/>
      <c r="G3" s="93"/>
      <c r="H3" s="91" t="s">
        <v>26</v>
      </c>
      <c r="I3" s="92"/>
      <c r="J3" s="92"/>
      <c r="K3" s="92"/>
      <c r="L3" s="92"/>
      <c r="M3" s="92"/>
      <c r="N3" s="92"/>
      <c r="O3" s="93"/>
    </row>
    <row r="4" spans="1:15" x14ac:dyDescent="0.25">
      <c r="A4" s="2" t="s">
        <v>0</v>
      </c>
      <c r="B4" s="8" t="s">
        <v>46</v>
      </c>
      <c r="C4" s="9" t="s">
        <v>47</v>
      </c>
      <c r="D4" s="10" t="s">
        <v>48</v>
      </c>
      <c r="E4" s="2" t="s">
        <v>4</v>
      </c>
      <c r="F4" s="3" t="s">
        <v>6</v>
      </c>
      <c r="G4" s="4"/>
      <c r="H4" s="2"/>
      <c r="I4" s="3"/>
      <c r="J4" s="3"/>
      <c r="K4" s="3"/>
      <c r="L4" s="3"/>
      <c r="M4" s="3"/>
      <c r="N4" s="3"/>
      <c r="O4" s="4"/>
    </row>
    <row r="5" spans="1:15" x14ac:dyDescent="0.25">
      <c r="A5" s="2" t="s">
        <v>1</v>
      </c>
      <c r="B5" s="2" t="s">
        <v>2</v>
      </c>
      <c r="C5" s="3" t="s">
        <v>74</v>
      </c>
      <c r="D5" s="4" t="s">
        <v>8</v>
      </c>
      <c r="E5" s="2" t="s">
        <v>7</v>
      </c>
      <c r="F5" s="3" t="s">
        <v>6</v>
      </c>
      <c r="G5" s="4"/>
      <c r="H5" s="2"/>
      <c r="I5" s="3"/>
      <c r="J5" s="3"/>
      <c r="K5" s="3"/>
      <c r="L5" s="3"/>
      <c r="M5" s="3"/>
      <c r="N5" s="3"/>
      <c r="O5" s="4"/>
    </row>
    <row r="6" spans="1:15" x14ac:dyDescent="0.25">
      <c r="A6" s="2" t="s">
        <v>9</v>
      </c>
      <c r="B6" s="2"/>
      <c r="C6" s="3"/>
      <c r="D6" s="4"/>
      <c r="E6" s="2" t="s">
        <v>11</v>
      </c>
      <c r="F6" s="3" t="s">
        <v>10</v>
      </c>
      <c r="G6" s="4" t="s">
        <v>6</v>
      </c>
      <c r="H6" s="2"/>
      <c r="I6" s="3"/>
      <c r="J6" s="3"/>
      <c r="K6" s="3"/>
      <c r="L6" s="3"/>
      <c r="M6" s="3"/>
      <c r="N6" s="3"/>
      <c r="O6" s="4"/>
    </row>
    <row r="7" spans="1:15" x14ac:dyDescent="0.25">
      <c r="A7" s="2" t="s">
        <v>12</v>
      </c>
      <c r="B7" s="2" t="s">
        <v>13</v>
      </c>
      <c r="C7" s="3" t="s">
        <v>16</v>
      </c>
      <c r="D7" s="4" t="s">
        <v>14</v>
      </c>
      <c r="E7" s="2" t="s">
        <v>15</v>
      </c>
      <c r="F7" s="3" t="s">
        <v>6</v>
      </c>
      <c r="G7" s="4"/>
      <c r="H7" s="2"/>
      <c r="I7" s="3"/>
      <c r="J7" s="3"/>
      <c r="K7" s="3"/>
      <c r="L7" s="3"/>
      <c r="M7" s="3"/>
      <c r="N7" s="3"/>
      <c r="O7" s="4"/>
    </row>
    <row r="8" spans="1:15" x14ac:dyDescent="0.25">
      <c r="A8" s="2" t="s">
        <v>17</v>
      </c>
      <c r="B8" s="2" t="s">
        <v>18</v>
      </c>
      <c r="C8" s="3" t="s">
        <v>19</v>
      </c>
      <c r="D8" s="4" t="s">
        <v>20</v>
      </c>
      <c r="E8" s="2"/>
      <c r="F8" s="3"/>
      <c r="G8" s="4"/>
      <c r="H8" s="2"/>
      <c r="I8" s="3"/>
      <c r="J8" s="3"/>
      <c r="K8" s="3"/>
      <c r="L8" s="3"/>
      <c r="M8" s="3"/>
      <c r="N8" s="3"/>
      <c r="O8" s="4"/>
    </row>
    <row r="9" spans="1:15" x14ac:dyDescent="0.25">
      <c r="A9" s="2" t="s">
        <v>21</v>
      </c>
      <c r="B9" s="2" t="s">
        <v>24</v>
      </c>
      <c r="C9" s="3" t="s">
        <v>25</v>
      </c>
      <c r="D9" s="4"/>
      <c r="E9" s="2"/>
      <c r="F9" s="3"/>
      <c r="G9" s="4"/>
      <c r="H9" s="2">
        <v>3</v>
      </c>
      <c r="I9" s="3">
        <v>2</v>
      </c>
      <c r="J9" s="3">
        <v>1</v>
      </c>
      <c r="K9" s="3"/>
      <c r="L9" s="3"/>
      <c r="M9" s="3"/>
      <c r="N9" s="3"/>
      <c r="O9" s="4"/>
    </row>
    <row r="10" spans="1:15" x14ac:dyDescent="0.25">
      <c r="A10" s="2" t="s">
        <v>27</v>
      </c>
      <c r="B10" s="2" t="s">
        <v>34</v>
      </c>
      <c r="C10" s="3" t="s">
        <v>35</v>
      </c>
      <c r="D10" s="4"/>
      <c r="E10" s="2"/>
      <c r="F10" s="3"/>
      <c r="G10" s="4"/>
      <c r="H10" s="2">
        <v>4</v>
      </c>
      <c r="I10" s="3">
        <v>3</v>
      </c>
      <c r="J10" s="3">
        <v>2</v>
      </c>
      <c r="K10" s="3">
        <v>1</v>
      </c>
      <c r="L10" s="3"/>
      <c r="M10" s="3"/>
      <c r="N10" s="3"/>
      <c r="O10" s="4"/>
    </row>
    <row r="11" spans="1:15" x14ac:dyDescent="0.25">
      <c r="A11" s="2" t="s">
        <v>28</v>
      </c>
      <c r="B11" s="2" t="s">
        <v>36</v>
      </c>
      <c r="C11" s="3" t="s">
        <v>37</v>
      </c>
      <c r="D11" s="4" t="s">
        <v>38</v>
      </c>
      <c r="E11" s="2"/>
      <c r="F11" s="3"/>
      <c r="G11" s="4"/>
      <c r="H11" s="2">
        <v>8</v>
      </c>
      <c r="I11" s="3">
        <v>7</v>
      </c>
      <c r="J11" s="3">
        <v>6</v>
      </c>
      <c r="K11" s="3">
        <v>5</v>
      </c>
      <c r="L11" s="3">
        <v>4</v>
      </c>
      <c r="M11" s="3">
        <v>3</v>
      </c>
      <c r="N11" s="3">
        <v>2</v>
      </c>
      <c r="O11" s="4">
        <v>1</v>
      </c>
    </row>
    <row r="12" spans="1:15" x14ac:dyDescent="0.25">
      <c r="A12" s="2" t="s">
        <v>29</v>
      </c>
      <c r="B12" s="2" t="s">
        <v>39</v>
      </c>
      <c r="C12" s="3" t="s">
        <v>40</v>
      </c>
      <c r="D12" s="4" t="s">
        <v>41</v>
      </c>
      <c r="E12" s="2"/>
      <c r="F12" s="3"/>
      <c r="G12" s="4"/>
      <c r="H12" s="2"/>
      <c r="I12" s="3"/>
      <c r="J12" s="3"/>
      <c r="K12" s="3"/>
      <c r="L12" s="3"/>
      <c r="M12" s="3"/>
      <c r="N12" s="3"/>
      <c r="O12" s="4"/>
    </row>
    <row r="13" spans="1:15" x14ac:dyDescent="0.25">
      <c r="A13" s="5" t="s">
        <v>30</v>
      </c>
      <c r="B13" s="5" t="s">
        <v>42</v>
      </c>
      <c r="C13" s="6" t="s">
        <v>43</v>
      </c>
      <c r="D13" s="7" t="s">
        <v>44</v>
      </c>
      <c r="E13" s="5"/>
      <c r="F13" s="6"/>
      <c r="G13" s="7"/>
      <c r="H13" s="5"/>
      <c r="I13" s="6"/>
      <c r="J13" s="6"/>
      <c r="K13" s="6"/>
      <c r="L13" s="6"/>
      <c r="M13" s="6"/>
      <c r="N13" s="6"/>
      <c r="O13" s="7"/>
    </row>
  </sheetData>
  <mergeCells count="3">
    <mergeCell ref="B3:D3"/>
    <mergeCell ref="E3:G3"/>
    <mergeCell ref="H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workbookViewId="0">
      <pane ySplit="1" topLeftCell="A2" activePane="bottomLeft" state="frozen"/>
      <selection pane="bottomLeft" activeCell="F7" sqref="F7"/>
    </sheetView>
  </sheetViews>
  <sheetFormatPr defaultColWidth="9.140625" defaultRowHeight="15" x14ac:dyDescent="0.25"/>
  <cols>
    <col min="1" max="1" width="3.5703125" style="3" customWidth="1"/>
    <col min="2" max="2" width="41.28515625" style="3" customWidth="1"/>
    <col min="3" max="3" width="15.85546875" style="36" customWidth="1"/>
    <col min="4" max="4" width="11.42578125" style="3" customWidth="1"/>
    <col min="5" max="5" width="15.42578125" style="3" customWidth="1"/>
    <col min="6" max="6" width="9.140625" style="3"/>
    <col min="7" max="7" width="9.140625" style="2"/>
    <col min="8" max="16384" width="9.140625" style="3"/>
  </cols>
  <sheetData>
    <row r="1" spans="2:18" s="25" customFormat="1" ht="15.75" thickBot="1" x14ac:dyDescent="0.3">
      <c r="B1" s="33" t="s">
        <v>58</v>
      </c>
      <c r="C1" s="34" t="s">
        <v>79</v>
      </c>
      <c r="D1" s="33" t="s">
        <v>23</v>
      </c>
      <c r="E1" s="33" t="s">
        <v>52</v>
      </c>
      <c r="G1" s="82" t="s">
        <v>60</v>
      </c>
    </row>
    <row r="2" spans="2:18" ht="15.75" thickTop="1" x14ac:dyDescent="0.25">
      <c r="B2" s="27" t="s">
        <v>57</v>
      </c>
      <c r="C2" s="35"/>
      <c r="D2" s="28"/>
      <c r="E2" s="28"/>
      <c r="G2" s="2" t="s">
        <v>81</v>
      </c>
    </row>
    <row r="3" spans="2:18" x14ac:dyDescent="0.25">
      <c r="B3" s="3" t="s">
        <v>48</v>
      </c>
      <c r="C3" s="36">
        <f>14926*1.07-1120</f>
        <v>14850.820000000002</v>
      </c>
      <c r="D3" s="3">
        <f>IF(EXACT(B3,'Selection Guide'!C$6), 1,0)</f>
        <v>1</v>
      </c>
      <c r="E3" s="40">
        <f>C3*D3</f>
        <v>14850.820000000002</v>
      </c>
      <c r="G3" s="2" t="s">
        <v>87</v>
      </c>
    </row>
    <row r="4" spans="2:18" x14ac:dyDescent="0.25">
      <c r="B4" s="3" t="s">
        <v>47</v>
      </c>
      <c r="C4" s="36">
        <f>18539*1.07-1440</f>
        <v>18396.73</v>
      </c>
      <c r="D4" s="3">
        <f>IF(EXACT(B4,'Selection Guide'!C$6), 1,0)</f>
        <v>0</v>
      </c>
      <c r="E4" s="40">
        <f t="shared" ref="E4:E49" si="0">C4*D4</f>
        <v>0</v>
      </c>
      <c r="G4" s="2" t="s">
        <v>88</v>
      </c>
    </row>
    <row r="5" spans="2:18" x14ac:dyDescent="0.25">
      <c r="B5" s="3" t="s">
        <v>46</v>
      </c>
      <c r="C5" s="36">
        <f>20965*1.07-1390</f>
        <v>21042.550000000003</v>
      </c>
      <c r="D5" s="3">
        <f>IF(EXACT(B5,'Selection Guide'!C$6), 1,0)</f>
        <v>0</v>
      </c>
      <c r="E5" s="40">
        <f t="shared" si="0"/>
        <v>0</v>
      </c>
    </row>
    <row r="6" spans="2:18" x14ac:dyDescent="0.25">
      <c r="B6" s="3" t="s">
        <v>4</v>
      </c>
      <c r="C6" s="37">
        <f>(32+36)*185</f>
        <v>12580</v>
      </c>
      <c r="D6" s="3">
        <f>IF(EXACT(B6,'Selection Guide'!D$6), 1,0)</f>
        <v>0</v>
      </c>
      <c r="E6" s="40">
        <f t="shared" si="0"/>
        <v>0</v>
      </c>
      <c r="G6" s="83" t="s">
        <v>61</v>
      </c>
      <c r="H6" s="30"/>
      <c r="I6" s="30"/>
      <c r="J6" s="30"/>
      <c r="K6" s="30"/>
      <c r="L6" s="30"/>
      <c r="M6" s="30" t="s">
        <v>62</v>
      </c>
      <c r="N6" s="30"/>
      <c r="O6" s="30"/>
      <c r="P6" s="30" t="s">
        <v>63</v>
      </c>
      <c r="Q6" s="30"/>
      <c r="R6" s="30"/>
    </row>
    <row r="7" spans="2:18" x14ac:dyDescent="0.25">
      <c r="E7" s="40"/>
    </row>
    <row r="8" spans="2:18" x14ac:dyDescent="0.25">
      <c r="B8" s="27" t="s">
        <v>1</v>
      </c>
      <c r="C8" s="35"/>
      <c r="D8" s="28"/>
      <c r="E8" s="28"/>
      <c r="G8" s="2" t="s">
        <v>75</v>
      </c>
    </row>
    <row r="9" spans="2:18" x14ac:dyDescent="0.25">
      <c r="B9" s="3" t="s">
        <v>74</v>
      </c>
      <c r="C9" s="36">
        <v>60</v>
      </c>
      <c r="D9" s="3">
        <f>IF(EXACT(B9,'Selection Guide'!C$7), 1,0)</f>
        <v>0</v>
      </c>
      <c r="E9" s="40">
        <f t="shared" si="0"/>
        <v>0</v>
      </c>
      <c r="G9" s="2" t="s">
        <v>77</v>
      </c>
    </row>
    <row r="10" spans="2:18" x14ac:dyDescent="0.25">
      <c r="B10" s="3" t="s">
        <v>2</v>
      </c>
      <c r="C10" s="36">
        <v>1040</v>
      </c>
      <c r="D10" s="3">
        <f>IF(EXACT(B10,'Selection Guide'!C$7), 1,0)</f>
        <v>1</v>
      </c>
      <c r="E10" s="40">
        <f t="shared" si="0"/>
        <v>1040</v>
      </c>
      <c r="G10" s="2" t="s">
        <v>69</v>
      </c>
      <c r="J10" s="94" t="s">
        <v>82</v>
      </c>
      <c r="K10" s="94"/>
      <c r="L10" s="94"/>
    </row>
    <row r="11" spans="2:18" x14ac:dyDescent="0.25">
      <c r="B11" s="3" t="s">
        <v>7</v>
      </c>
      <c r="C11" s="36">
        <v>750</v>
      </c>
      <c r="D11" s="3">
        <f>IF(EXACT(B11,'Selection Guide'!D7), 1,0)</f>
        <v>0</v>
      </c>
      <c r="E11" s="40">
        <f t="shared" si="0"/>
        <v>0</v>
      </c>
      <c r="G11" s="84" t="s">
        <v>80</v>
      </c>
    </row>
    <row r="12" spans="2:18" x14ac:dyDescent="0.25">
      <c r="E12" s="40">
        <f t="shared" si="0"/>
        <v>0</v>
      </c>
    </row>
    <row r="13" spans="2:18" x14ac:dyDescent="0.25">
      <c r="B13" s="27" t="s">
        <v>56</v>
      </c>
      <c r="C13" s="35"/>
      <c r="D13" s="28"/>
      <c r="E13" s="28"/>
      <c r="G13" s="2" t="s">
        <v>70</v>
      </c>
    </row>
    <row r="14" spans="2:18" x14ac:dyDescent="0.25">
      <c r="B14" s="3" t="s">
        <v>10</v>
      </c>
      <c r="C14" s="36">
        <v>500</v>
      </c>
      <c r="D14" s="3">
        <f>IF(EXACT(B14,'Selection Guide'!D$8), 1,0)</f>
        <v>0</v>
      </c>
      <c r="E14" s="40">
        <f t="shared" si="0"/>
        <v>0</v>
      </c>
    </row>
    <row r="15" spans="2:18" x14ac:dyDescent="0.25">
      <c r="B15" s="3" t="s">
        <v>11</v>
      </c>
      <c r="C15" s="36">
        <v>1200</v>
      </c>
      <c r="D15" s="3">
        <f>IF(EXACT(B15,'Selection Guide'!D$8), 1,0)</f>
        <v>0</v>
      </c>
      <c r="E15" s="40">
        <f t="shared" si="0"/>
        <v>0</v>
      </c>
    </row>
    <row r="16" spans="2:18" x14ac:dyDescent="0.25">
      <c r="E16" s="40"/>
    </row>
    <row r="17" spans="2:20" x14ac:dyDescent="0.25">
      <c r="B17" s="27" t="s">
        <v>12</v>
      </c>
      <c r="C17" s="35"/>
      <c r="D17" s="28"/>
      <c r="E17" s="28"/>
    </row>
    <row r="18" spans="2:20" x14ac:dyDescent="0.25">
      <c r="B18" s="3" t="s">
        <v>13</v>
      </c>
      <c r="C18" s="36">
        <f>(185+100+250+1500)*1.05+400</f>
        <v>2536.75</v>
      </c>
      <c r="D18" s="3">
        <f>IF(EXACT(B18,'Selection Guide'!C$9), 1,0)</f>
        <v>1</v>
      </c>
      <c r="E18" s="40">
        <f t="shared" si="0"/>
        <v>2536.75</v>
      </c>
      <c r="G18" s="2" t="s">
        <v>76</v>
      </c>
    </row>
    <row r="19" spans="2:20" x14ac:dyDescent="0.25">
      <c r="B19" s="3" t="s">
        <v>16</v>
      </c>
      <c r="C19" s="36">
        <v>80</v>
      </c>
      <c r="D19" s="3">
        <f>IF(EXACT(B19,'Selection Guide'!C$9), 1,0)</f>
        <v>0</v>
      </c>
      <c r="E19" s="40">
        <f t="shared" si="0"/>
        <v>0</v>
      </c>
      <c r="G19" s="2" t="s">
        <v>73</v>
      </c>
    </row>
    <row r="20" spans="2:20" x14ac:dyDescent="0.25">
      <c r="B20" s="3" t="s">
        <v>14</v>
      </c>
      <c r="C20" s="36">
        <v>200</v>
      </c>
      <c r="D20" s="3">
        <f>IF(EXACT(B20,'Selection Guide'!C$9), 1,0)</f>
        <v>0</v>
      </c>
      <c r="E20" s="40">
        <f t="shared" si="0"/>
        <v>0</v>
      </c>
      <c r="G20" s="83" t="s">
        <v>72</v>
      </c>
      <c r="H20" s="30"/>
      <c r="I20" s="30"/>
    </row>
    <row r="21" spans="2:20" x14ac:dyDescent="0.25">
      <c r="B21" s="3" t="s">
        <v>15</v>
      </c>
      <c r="C21" s="39">
        <v>0</v>
      </c>
      <c r="D21" s="3">
        <f>IF(EXACT(B21,'Selection Guide'!D$9), 1,0)</f>
        <v>0</v>
      </c>
      <c r="E21" s="40">
        <f t="shared" si="0"/>
        <v>0</v>
      </c>
      <c r="G21" s="83" t="s">
        <v>89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x14ac:dyDescent="0.25">
      <c r="E22" s="40">
        <f t="shared" si="0"/>
        <v>0</v>
      </c>
    </row>
    <row r="23" spans="2:20" x14ac:dyDescent="0.25">
      <c r="B23" s="27" t="s">
        <v>17</v>
      </c>
      <c r="C23" s="38"/>
      <c r="D23" s="29"/>
      <c r="E23" s="28"/>
      <c r="F23" s="26"/>
      <c r="G23" s="94" t="s">
        <v>82</v>
      </c>
      <c r="H23" s="94"/>
      <c r="I23" s="94"/>
      <c r="J23" s="95"/>
      <c r="K23" s="95"/>
      <c r="L23" s="95"/>
      <c r="M23" s="95"/>
      <c r="N23" s="95"/>
      <c r="O23" s="95"/>
      <c r="P23" s="95"/>
      <c r="Q23" s="95"/>
    </row>
    <row r="24" spans="2:20" x14ac:dyDescent="0.25">
      <c r="B24" s="3" t="s">
        <v>18</v>
      </c>
      <c r="C24" s="36">
        <v>500</v>
      </c>
      <c r="D24" s="3">
        <f>IF(EXACT(B24,'Selection Guide'!C$10), 1,0)</f>
        <v>0</v>
      </c>
      <c r="E24" s="40">
        <f t="shared" si="0"/>
        <v>0</v>
      </c>
      <c r="F24" s="9"/>
    </row>
    <row r="25" spans="2:20" x14ac:dyDescent="0.25">
      <c r="B25" s="3" t="s">
        <v>19</v>
      </c>
      <c r="C25" s="36">
        <v>250</v>
      </c>
      <c r="D25" s="3">
        <f>IF(EXACT(B25,'Selection Guide'!C$10), 1,0)</f>
        <v>0</v>
      </c>
      <c r="E25" s="40">
        <f t="shared" si="0"/>
        <v>0</v>
      </c>
    </row>
    <row r="26" spans="2:20" x14ac:dyDescent="0.25">
      <c r="B26" s="3" t="s">
        <v>20</v>
      </c>
      <c r="C26" s="41" t="s">
        <v>78</v>
      </c>
      <c r="D26" s="41"/>
      <c r="E26" s="40"/>
    </row>
    <row r="27" spans="2:20" x14ac:dyDescent="0.25">
      <c r="E27" s="40"/>
    </row>
    <row r="28" spans="2:20" x14ac:dyDescent="0.25">
      <c r="B28" s="27" t="s">
        <v>21</v>
      </c>
      <c r="C28" s="35"/>
      <c r="D28" s="28"/>
      <c r="E28" s="28"/>
      <c r="G28" s="2" t="s">
        <v>83</v>
      </c>
    </row>
    <row r="29" spans="2:20" x14ac:dyDescent="0.25">
      <c r="B29" s="3" t="s">
        <v>24</v>
      </c>
      <c r="C29" s="36">
        <v>250</v>
      </c>
      <c r="D29" s="3">
        <f>IF(EXACT(B29,'Selection Guide'!C$11), 'Selection Guide'!E$11,0)</f>
        <v>0</v>
      </c>
      <c r="E29" s="40">
        <f t="shared" si="0"/>
        <v>0</v>
      </c>
    </row>
    <row r="30" spans="2:20" x14ac:dyDescent="0.25">
      <c r="B30" s="3" t="s">
        <v>25</v>
      </c>
      <c r="C30" s="36">
        <v>150</v>
      </c>
      <c r="D30" s="3">
        <f>IF(EXACT(B30,'Selection Guide'!C$11), 'Selection Guide'!E$11,0)</f>
        <v>2</v>
      </c>
      <c r="E30" s="40">
        <f t="shared" si="0"/>
        <v>300</v>
      </c>
    </row>
    <row r="31" spans="2:20" x14ac:dyDescent="0.25">
      <c r="E31" s="40"/>
    </row>
    <row r="32" spans="2:20" x14ac:dyDescent="0.25">
      <c r="B32" s="27" t="s">
        <v>27</v>
      </c>
      <c r="C32" s="35"/>
      <c r="D32" s="28"/>
      <c r="E32" s="28"/>
    </row>
    <row r="33" spans="2:11" x14ac:dyDescent="0.25">
      <c r="B33" s="3" t="s">
        <v>34</v>
      </c>
      <c r="C33" s="36">
        <v>150</v>
      </c>
      <c r="D33" s="3">
        <f>IF(EXACT(B33,'Selection Guide'!C$12), 'Selection Guide'!E$12,0)</f>
        <v>0</v>
      </c>
      <c r="E33" s="40">
        <f t="shared" si="0"/>
        <v>0</v>
      </c>
    </row>
    <row r="34" spans="2:11" x14ac:dyDescent="0.25">
      <c r="B34" s="3" t="s">
        <v>35</v>
      </c>
      <c r="C34" s="36">
        <v>50</v>
      </c>
      <c r="D34" s="3">
        <f>IF(EXACT(B34,'Selection Guide'!C$12), 'Selection Guide'!E$12,0)</f>
        <v>3</v>
      </c>
      <c r="E34" s="40">
        <f t="shared" si="0"/>
        <v>150</v>
      </c>
    </row>
    <row r="35" spans="2:11" x14ac:dyDescent="0.25">
      <c r="E35" s="40"/>
    </row>
    <row r="36" spans="2:11" x14ac:dyDescent="0.25">
      <c r="B36" s="27" t="s">
        <v>28</v>
      </c>
      <c r="C36" s="35"/>
      <c r="D36" s="28"/>
      <c r="E36" s="28"/>
      <c r="G36" s="83" t="s">
        <v>71</v>
      </c>
      <c r="H36" s="30"/>
      <c r="I36" s="30"/>
      <c r="J36" s="30"/>
      <c r="K36" s="30"/>
    </row>
    <row r="37" spans="2:11" x14ac:dyDescent="0.25">
      <c r="B37" s="3" t="s">
        <v>36</v>
      </c>
      <c r="C37" s="36">
        <v>450</v>
      </c>
      <c r="D37" s="3">
        <f>IF(EXACT(B37,'Selection Guide'!C$13), 'Selection Guide'!E$13,0)</f>
        <v>0</v>
      </c>
      <c r="E37" s="40">
        <f t="shared" si="0"/>
        <v>0</v>
      </c>
      <c r="G37" s="2" t="s">
        <v>66</v>
      </c>
    </row>
    <row r="38" spans="2:11" x14ac:dyDescent="0.25">
      <c r="B38" s="3" t="s">
        <v>37</v>
      </c>
      <c r="C38" s="36">
        <v>250</v>
      </c>
      <c r="D38" s="3">
        <f>IF(EXACT(B38,'Selection Guide'!C$13), 'Selection Guide'!E$13,0)</f>
        <v>8</v>
      </c>
      <c r="E38" s="40">
        <f t="shared" si="0"/>
        <v>2000</v>
      </c>
      <c r="G38" s="2" t="s">
        <v>65</v>
      </c>
    </row>
    <row r="39" spans="2:11" x14ac:dyDescent="0.25">
      <c r="B39" s="3" t="s">
        <v>38</v>
      </c>
      <c r="C39" s="36">
        <v>100</v>
      </c>
      <c r="D39" s="3">
        <f>IF(EXACT(B39,'Selection Guide'!C$13), 'Selection Guide'!E$13,0)</f>
        <v>0</v>
      </c>
      <c r="E39" s="40">
        <f t="shared" si="0"/>
        <v>0</v>
      </c>
      <c r="G39" s="2" t="s">
        <v>64</v>
      </c>
    </row>
    <row r="40" spans="2:11" x14ac:dyDescent="0.25">
      <c r="E40" s="40"/>
    </row>
    <row r="41" spans="2:11" x14ac:dyDescent="0.25">
      <c r="B41" s="27" t="s">
        <v>29</v>
      </c>
      <c r="C41" s="35"/>
      <c r="D41" s="28"/>
      <c r="E41" s="28"/>
      <c r="G41" s="98" t="s">
        <v>82</v>
      </c>
      <c r="H41" s="94"/>
      <c r="I41" s="94"/>
    </row>
    <row r="42" spans="2:11" x14ac:dyDescent="0.25">
      <c r="B42" s="3" t="s">
        <v>39</v>
      </c>
      <c r="E42" s="40"/>
      <c r="G42" s="84" t="s">
        <v>67</v>
      </c>
    </row>
    <row r="43" spans="2:11" x14ac:dyDescent="0.25">
      <c r="B43" s="32" t="s">
        <v>55</v>
      </c>
      <c r="C43" s="39">
        <v>4100</v>
      </c>
      <c r="D43" s="3">
        <f>IF(AND(EXACT(B$42,'Selection Guide'!C14), 'Basic Estimate Calculator'!D5=1), 1,0)</f>
        <v>0</v>
      </c>
      <c r="E43" s="40">
        <f t="shared" si="0"/>
        <v>0</v>
      </c>
    </row>
    <row r="44" spans="2:11" x14ac:dyDescent="0.25">
      <c r="B44" s="32" t="s">
        <v>54</v>
      </c>
      <c r="C44" s="39">
        <v>2900</v>
      </c>
      <c r="D44" s="3">
        <f>IF(AND(EXACT(B$42,'Selection Guide'!C14), 'Basic Estimate Calculator'!D4=1), 1,0)</f>
        <v>0</v>
      </c>
      <c r="E44" s="40">
        <f t="shared" si="0"/>
        <v>0</v>
      </c>
    </row>
    <row r="45" spans="2:11" x14ac:dyDescent="0.25">
      <c r="B45" s="32" t="s">
        <v>53</v>
      </c>
      <c r="C45" s="39">
        <v>2400</v>
      </c>
      <c r="D45" s="3">
        <f>IF(AND(EXACT(B$42,'Selection Guide'!C14), 'Basic Estimate Calculator'!D3=1), 1,0)</f>
        <v>0</v>
      </c>
      <c r="E45" s="40">
        <f t="shared" si="0"/>
        <v>0</v>
      </c>
    </row>
    <row r="46" spans="2:11" x14ac:dyDescent="0.25">
      <c r="B46" s="3" t="s">
        <v>40</v>
      </c>
      <c r="E46" s="40"/>
      <c r="G46" s="85" t="s">
        <v>68</v>
      </c>
    </row>
    <row r="47" spans="2:11" x14ac:dyDescent="0.25">
      <c r="B47" s="32" t="s">
        <v>55</v>
      </c>
      <c r="C47" s="36">
        <v>2050</v>
      </c>
      <c r="D47" s="3">
        <f>IF(AND(EXACT(B$46,'Selection Guide'!C14), 'Basic Estimate Calculator'!D5=1), 1,0)</f>
        <v>0</v>
      </c>
      <c r="E47" s="40">
        <f t="shared" si="0"/>
        <v>0</v>
      </c>
    </row>
    <row r="48" spans="2:11" x14ac:dyDescent="0.25">
      <c r="B48" s="32" t="s">
        <v>54</v>
      </c>
      <c r="C48" s="36">
        <v>1450</v>
      </c>
      <c r="D48" s="3">
        <f>IF(AND(EXACT(B$46,'Selection Guide'!C14), 'Basic Estimate Calculator'!D4=1), 1,0)</f>
        <v>0</v>
      </c>
      <c r="E48" s="40">
        <f t="shared" si="0"/>
        <v>0</v>
      </c>
    </row>
    <row r="49" spans="2:5" x14ac:dyDescent="0.25">
      <c r="B49" s="32" t="s">
        <v>53</v>
      </c>
      <c r="C49" s="36">
        <v>1200</v>
      </c>
      <c r="D49" s="3">
        <f>IF(AND(EXACT(B$46,'Selection Guide'!C14), 'Basic Estimate Calculator'!D3=1), 1,0)</f>
        <v>0</v>
      </c>
      <c r="E49" s="40">
        <f t="shared" si="0"/>
        <v>0</v>
      </c>
    </row>
    <row r="50" spans="2:5" x14ac:dyDescent="0.25">
      <c r="B50" s="3" t="s">
        <v>41</v>
      </c>
      <c r="C50" s="41" t="s">
        <v>78</v>
      </c>
      <c r="D50" s="41"/>
      <c r="E50" s="40"/>
    </row>
    <row r="52" spans="2:5" ht="15.75" thickBot="1" x14ac:dyDescent="0.3"/>
    <row r="53" spans="2:5" ht="15.75" thickBot="1" x14ac:dyDescent="0.3">
      <c r="C53" s="96" t="s">
        <v>59</v>
      </c>
      <c r="D53" s="97"/>
      <c r="E53" s="42">
        <f>SUM(E2:E49)</f>
        <v>20877.57</v>
      </c>
    </row>
  </sheetData>
  <mergeCells count="5">
    <mergeCell ref="G23:I23"/>
    <mergeCell ref="J23:Q23"/>
    <mergeCell ref="C53:D53"/>
    <mergeCell ref="J10:L10"/>
    <mergeCell ref="G41:I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workbookViewId="0">
      <selection activeCell="C27" sqref="C27"/>
    </sheetView>
  </sheetViews>
  <sheetFormatPr defaultRowHeight="15" x14ac:dyDescent="0.25"/>
  <cols>
    <col min="2" max="2" width="25.5703125" customWidth="1"/>
    <col min="3" max="3" width="11.5703125" bestFit="1" customWidth="1"/>
    <col min="4" max="4" width="17.7109375" bestFit="1" customWidth="1"/>
    <col min="5" max="6" width="11.5703125" style="46" bestFit="1" customWidth="1"/>
    <col min="8" max="8" width="27.140625" customWidth="1"/>
    <col min="9" max="9" width="10.85546875" customWidth="1"/>
    <col min="10" max="10" width="25.85546875" bestFit="1" customWidth="1"/>
  </cols>
  <sheetData>
    <row r="1" spans="2:11" ht="15.75" thickBot="1" x14ac:dyDescent="0.3"/>
    <row r="2" spans="2:11" x14ac:dyDescent="0.25">
      <c r="B2" s="47" t="s">
        <v>90</v>
      </c>
      <c r="C2" s="48">
        <v>2</v>
      </c>
      <c r="D2" s="49" t="s">
        <v>91</v>
      </c>
      <c r="E2" s="50">
        <v>2000</v>
      </c>
      <c r="F2" s="51">
        <f>C2*E2</f>
        <v>4000</v>
      </c>
      <c r="H2" s="47" t="s">
        <v>92</v>
      </c>
      <c r="I2" s="52">
        <v>3000</v>
      </c>
      <c r="J2" s="53" t="s">
        <v>93</v>
      </c>
      <c r="K2" s="54">
        <f>MIN(F2*2,C27*C26)</f>
        <v>2349.6897763009997</v>
      </c>
    </row>
    <row r="3" spans="2:11" x14ac:dyDescent="0.25">
      <c r="B3" s="55"/>
      <c r="C3" s="56"/>
      <c r="D3" s="56"/>
      <c r="E3" s="57"/>
      <c r="F3" s="58">
        <f>C3*E3</f>
        <v>0</v>
      </c>
      <c r="H3" s="55" t="s">
        <v>94</v>
      </c>
      <c r="I3" s="59">
        <v>15</v>
      </c>
      <c r="J3" s="60"/>
      <c r="K3" s="61"/>
    </row>
    <row r="4" spans="2:11" x14ac:dyDescent="0.25">
      <c r="B4" s="55" t="s">
        <v>95</v>
      </c>
      <c r="C4" s="56">
        <v>1</v>
      </c>
      <c r="D4" s="56" t="s">
        <v>96</v>
      </c>
      <c r="E4" s="62">
        <f>'Selection Guide'!D17</f>
        <v>20877.57</v>
      </c>
      <c r="F4" s="58">
        <f>C4*E4</f>
        <v>20877.57</v>
      </c>
      <c r="H4" s="55"/>
      <c r="I4" s="56"/>
      <c r="J4" s="56"/>
      <c r="K4" s="61"/>
    </row>
    <row r="5" spans="2:11" x14ac:dyDescent="0.25">
      <c r="B5" s="55" t="s">
        <v>97</v>
      </c>
      <c r="C5" s="63">
        <v>0.05</v>
      </c>
      <c r="D5" s="56" t="s">
        <v>95</v>
      </c>
      <c r="E5" s="62">
        <f>E4</f>
        <v>20877.57</v>
      </c>
      <c r="F5" s="58">
        <f>C5*E5</f>
        <v>1043.8785</v>
      </c>
      <c r="H5" s="55" t="s">
        <v>95</v>
      </c>
      <c r="I5" s="64">
        <f>E5</f>
        <v>20877.57</v>
      </c>
      <c r="J5" s="56"/>
      <c r="K5" s="61"/>
    </row>
    <row r="6" spans="2:11" x14ac:dyDescent="0.25">
      <c r="B6" s="55"/>
      <c r="C6" s="56"/>
      <c r="D6" s="56"/>
      <c r="E6" s="57"/>
      <c r="F6" s="58"/>
      <c r="H6" s="55"/>
      <c r="I6" s="56"/>
      <c r="J6" s="56"/>
      <c r="K6" s="61"/>
    </row>
    <row r="7" spans="2:11" x14ac:dyDescent="0.25">
      <c r="B7" s="55" t="s">
        <v>98</v>
      </c>
      <c r="C7" s="56"/>
      <c r="D7" s="56"/>
      <c r="E7" s="57"/>
      <c r="F7" s="65">
        <f>SUM(F2:F6)</f>
        <v>25921.448499999999</v>
      </c>
      <c r="H7" s="55" t="s">
        <v>99</v>
      </c>
      <c r="I7" s="81">
        <f>F24</f>
        <v>185.81196999185963</v>
      </c>
      <c r="J7" s="56"/>
      <c r="K7" s="61"/>
    </row>
    <row r="8" spans="2:11" ht="15.75" thickBot="1" x14ac:dyDescent="0.3">
      <c r="B8" s="55"/>
      <c r="C8" s="56"/>
      <c r="D8" s="56"/>
      <c r="E8" s="57"/>
      <c r="F8" s="58"/>
      <c r="H8" s="66"/>
      <c r="I8" s="67"/>
      <c r="J8" s="67"/>
      <c r="K8" s="68"/>
    </row>
    <row r="9" spans="2:11" x14ac:dyDescent="0.25">
      <c r="B9" s="55" t="s">
        <v>100</v>
      </c>
      <c r="C9" s="56">
        <v>1</v>
      </c>
      <c r="D9" s="56" t="s">
        <v>101</v>
      </c>
      <c r="E9" s="57">
        <v>500</v>
      </c>
      <c r="F9" s="58">
        <f>C9*E9</f>
        <v>500</v>
      </c>
    </row>
    <row r="10" spans="2:11" x14ac:dyDescent="0.25">
      <c r="B10" s="55" t="s">
        <v>102</v>
      </c>
      <c r="C10" s="69">
        <v>0.01</v>
      </c>
      <c r="D10" s="56" t="s">
        <v>95</v>
      </c>
      <c r="E10" s="57">
        <f>F4</f>
        <v>20877.57</v>
      </c>
      <c r="F10" s="58">
        <f>C10*E10</f>
        <v>208.7757</v>
      </c>
    </row>
    <row r="11" spans="2:11" x14ac:dyDescent="0.25">
      <c r="B11" s="55" t="s">
        <v>116</v>
      </c>
      <c r="C11" s="70">
        <v>0.05</v>
      </c>
      <c r="D11" s="56" t="s">
        <v>95</v>
      </c>
      <c r="E11" s="57">
        <f>F4</f>
        <v>20877.57</v>
      </c>
      <c r="F11" s="58">
        <f>C11*E11</f>
        <v>1043.8785</v>
      </c>
    </row>
    <row r="12" spans="2:11" x14ac:dyDescent="0.25">
      <c r="B12" s="55" t="s">
        <v>103</v>
      </c>
      <c r="C12" s="69">
        <v>0.1</v>
      </c>
      <c r="D12" s="56" t="s">
        <v>90</v>
      </c>
      <c r="E12" s="57">
        <f>F2</f>
        <v>4000</v>
      </c>
      <c r="F12" s="58">
        <f>C12*E12</f>
        <v>400</v>
      </c>
    </row>
    <row r="13" spans="2:11" x14ac:dyDescent="0.25">
      <c r="B13" s="55"/>
      <c r="C13" s="56"/>
      <c r="D13" s="56"/>
      <c r="E13" s="57"/>
      <c r="F13" s="58"/>
    </row>
    <row r="14" spans="2:11" x14ac:dyDescent="0.25">
      <c r="B14" s="55" t="s">
        <v>104</v>
      </c>
      <c r="C14" s="56"/>
      <c r="D14" s="56"/>
      <c r="E14" s="57"/>
      <c r="F14" s="65">
        <f>SUM(F9:F13)</f>
        <v>2152.6541999999999</v>
      </c>
    </row>
    <row r="15" spans="2:11" x14ac:dyDescent="0.25">
      <c r="B15" s="55"/>
      <c r="C15" s="56"/>
      <c r="D15" s="56"/>
      <c r="E15" s="57"/>
      <c r="F15" s="58"/>
    </row>
    <row r="16" spans="2:11" x14ac:dyDescent="0.25">
      <c r="B16" s="55" t="s">
        <v>105</v>
      </c>
      <c r="C16" s="56"/>
      <c r="D16" s="56"/>
      <c r="E16" s="57"/>
      <c r="F16" s="58">
        <f>F7+F14</f>
        <v>28074.102699999999</v>
      </c>
      <c r="G16" s="71"/>
    </row>
    <row r="17" spans="2:6" x14ac:dyDescent="0.25">
      <c r="B17" s="55"/>
      <c r="C17" s="56"/>
      <c r="D17" s="56"/>
      <c r="E17" s="57"/>
      <c r="F17" s="58"/>
    </row>
    <row r="18" spans="2:6" x14ac:dyDescent="0.25">
      <c r="B18" s="55" t="s">
        <v>106</v>
      </c>
      <c r="C18" s="72">
        <v>1.4999999999999999E-2</v>
      </c>
      <c r="D18" s="56" t="s">
        <v>107</v>
      </c>
      <c r="E18" s="57">
        <f>F16</f>
        <v>28074.102699999999</v>
      </c>
      <c r="F18" s="58">
        <f>C18*E18</f>
        <v>421.11154049999999</v>
      </c>
    </row>
    <row r="19" spans="2:6" x14ac:dyDescent="0.25">
      <c r="B19" s="55" t="s">
        <v>117</v>
      </c>
      <c r="C19" s="69">
        <v>0.05</v>
      </c>
      <c r="D19" s="56" t="s">
        <v>108</v>
      </c>
      <c r="E19" s="57">
        <f>F16</f>
        <v>28074.102699999999</v>
      </c>
      <c r="F19" s="58">
        <f>C19*E19</f>
        <v>1403.7051350000002</v>
      </c>
    </row>
    <row r="20" spans="2:6" x14ac:dyDescent="0.25">
      <c r="B20" s="55" t="s">
        <v>118</v>
      </c>
      <c r="C20" s="69">
        <v>0.02</v>
      </c>
      <c r="D20" s="56" t="s">
        <v>109</v>
      </c>
      <c r="E20" s="57">
        <f>SUM(F16:F19)</f>
        <v>29898.919375499998</v>
      </c>
      <c r="F20" s="58">
        <f>C20*E20</f>
        <v>597.97838750999995</v>
      </c>
    </row>
    <row r="21" spans="2:6" x14ac:dyDescent="0.25">
      <c r="B21" s="55"/>
      <c r="C21" s="69"/>
      <c r="D21" s="56"/>
      <c r="E21" s="57"/>
      <c r="F21" s="58"/>
    </row>
    <row r="22" spans="2:6" x14ac:dyDescent="0.25">
      <c r="B22" s="55" t="s">
        <v>110</v>
      </c>
      <c r="C22" s="56"/>
      <c r="D22" s="56"/>
      <c r="E22" s="57"/>
      <c r="F22" s="58">
        <f>SUM(F16:F20)</f>
        <v>30496.897763009998</v>
      </c>
    </row>
    <row r="23" spans="2:6" ht="15.75" thickBot="1" x14ac:dyDescent="0.3">
      <c r="B23" s="66"/>
      <c r="C23" s="67"/>
      <c r="D23" s="67"/>
      <c r="E23" s="73"/>
      <c r="F23" s="74"/>
    </row>
    <row r="24" spans="2:6" x14ac:dyDescent="0.25">
      <c r="E24" s="75" t="s">
        <v>111</v>
      </c>
      <c r="F24" s="46">
        <f>-PMT(C25/12,I3*12,C27)</f>
        <v>185.81196999185963</v>
      </c>
    </row>
    <row r="25" spans="2:6" x14ac:dyDescent="0.25">
      <c r="B25" s="31" t="s">
        <v>112</v>
      </c>
      <c r="C25" s="76">
        <v>0.05</v>
      </c>
      <c r="E25" s="75"/>
    </row>
    <row r="26" spans="2:6" x14ac:dyDescent="0.25">
      <c r="B26" s="31" t="s">
        <v>113</v>
      </c>
      <c r="C26" s="77">
        <v>0.1</v>
      </c>
      <c r="E26" s="75"/>
    </row>
    <row r="27" spans="2:6" x14ac:dyDescent="0.25">
      <c r="B27" s="31" t="s">
        <v>114</v>
      </c>
      <c r="C27" s="78">
        <f>F22-I2-F2</f>
        <v>23496.897763009998</v>
      </c>
    </row>
    <row r="28" spans="2:6" x14ac:dyDescent="0.25">
      <c r="B28" s="31"/>
      <c r="C28" s="80"/>
    </row>
  </sheetData>
  <conditionalFormatting sqref="I2">
    <cfRule type="cellIs" dxfId="1" priority="1" operator="lessThan">
      <formula>$K$2</formula>
    </cfRule>
    <cfRule type="cellIs" dxfId="0" priority="2" operator="greaterThanOrEqual">
      <formula>$K$2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Selection Guide</vt:lpstr>
      <vt:lpstr>Options Lists</vt:lpstr>
      <vt:lpstr>Basic Estimate Calculator</vt:lpstr>
      <vt:lpstr>Payment Calculator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Christianos</dc:creator>
  <cp:lastModifiedBy>T450s</cp:lastModifiedBy>
  <dcterms:created xsi:type="dcterms:W3CDTF">2018-11-01T15:14:07Z</dcterms:created>
  <dcterms:modified xsi:type="dcterms:W3CDTF">2020-07-20T17:29:15Z</dcterms:modified>
</cp:coreProperties>
</file>